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80" windowHeight="8640" activeTab="1"/>
  </bookViews>
  <sheets>
    <sheet name="P lục 01TH DTmtlp 2016" sheetId="1" r:id="rId1"/>
    <sheet name="P luc 02 dmuc bptt mtlp2016" sheetId="2" r:id="rId2"/>
    <sheet name="Sheet1" sheetId="3" r:id="rId3"/>
  </sheets>
  <externalReferences>
    <externalReference r:id="rId6"/>
  </externalReferences>
  <definedNames>
    <definedName name="_xlnm.Print_Titles" localSheetId="0">'P lục 01TH DTmtlp 2016'!$5:$6</definedName>
    <definedName name="_xlnm.Print_Titles" localSheetId="1">'P luc 02 dmuc bptt mtlp2016'!$6:$11</definedName>
  </definedNames>
  <calcPr fullCalcOnLoad="1"/>
</workbook>
</file>

<file path=xl/comments1.xml><?xml version="1.0" encoding="utf-8"?>
<comments xmlns="http://schemas.openxmlformats.org/spreadsheetml/2006/main">
  <authors>
    <author>0912.838.577</author>
  </authors>
  <commentList>
    <comment ref="E18" authorId="0">
      <text>
        <r>
          <rPr>
            <b/>
            <sz val="9"/>
            <rFont val="Tahoma"/>
            <family val="2"/>
          </rPr>
          <t>5 ha Hồ Rẩy họ HTX Nghĩa Ninh, 8,8 ha hồ (Nình, vèng luồng) của HTX Quang Lộc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Trạm bơm dầu xã Đức Ninh</t>
        </r>
        <r>
          <rPr>
            <sz val="9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9"/>
            <rFont val="Tahoma"/>
            <family val="2"/>
          </rPr>
          <t>diện tích tiêu do 2 trạm bơm của HTX trung nghĩa đảm nhận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HTX phương xuân 1,2ha
HTX phú hải 20,51ha
HTX phú xá 8,45 ha
HTX Hữu Cung 19,14 ha
</t>
        </r>
        <r>
          <rPr>
            <sz val="9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rFont val="Tahoma"/>
            <family val="2"/>
          </rPr>
          <t xml:space="preserve">HTX Nam Lý 1,1 ha
HTX Phú hải 0,51 ha
HTXĐồng phú 3,99 ha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R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tram bom, tuoi tieu dong luc</t>
        </r>
      </text>
    </comment>
    <comment ref="R1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tram bom, tuoi tieu dong luc</t>
        </r>
      </text>
    </comment>
  </commentList>
</comments>
</file>

<file path=xl/sharedStrings.xml><?xml version="1.0" encoding="utf-8"?>
<sst xmlns="http://schemas.openxmlformats.org/spreadsheetml/2006/main" count="346" uniqueCount="134">
  <si>
    <t>TT</t>
  </si>
  <si>
    <t>PHỤ LỤC 02: DANH MỤC CÔNG TRÌNH VÀ BIỆN PHÁP TƯỚI TIÊU, DIỆN TÍCH ĐƯỢC MIỄN THỦY LỢI PHÍ</t>
  </si>
  <si>
    <t xml:space="preserve"> (Kèm theo Quyết định số           /QĐ-UBND  ngày      /       /2014 của Ủy ban nhân dân tỉnh Quảng Bình)</t>
  </si>
  <si>
    <t xml:space="preserve">Đơn vị, Danh mục công trình </t>
  </si>
  <si>
    <t>Tổng số (ha)</t>
  </si>
  <si>
    <t>Tưới tiêu trọng lực</t>
  </si>
  <si>
    <t>Tưới tiêu cho Lúa (ha)</t>
  </si>
  <si>
    <t xml:space="preserve">Tưới chủ động </t>
  </si>
  <si>
    <t xml:space="preserve">Tiêu chủ động </t>
  </si>
  <si>
    <t xml:space="preserve"> Vùng khác</t>
  </si>
  <si>
    <t>miền núi</t>
  </si>
  <si>
    <t>A</t>
  </si>
  <si>
    <t>VỤ ĐÔNG XUÂN</t>
  </si>
  <si>
    <t>I</t>
  </si>
  <si>
    <t>Xã Đức Ninh</t>
  </si>
  <si>
    <t>HTX Đức Ninh</t>
  </si>
  <si>
    <t>a</t>
  </si>
  <si>
    <t>Trạm bơm Đức Thị</t>
  </si>
  <si>
    <t>b</t>
  </si>
  <si>
    <t>Cống đê Tả Lệ Kỳ</t>
  </si>
  <si>
    <t>II</t>
  </si>
  <si>
    <t>Xã Nghĩa Ninh</t>
  </si>
  <si>
    <t>HTX Trung Nghĩa</t>
  </si>
  <si>
    <t>Hồ Rẫy Họ</t>
  </si>
  <si>
    <t>c</t>
  </si>
  <si>
    <t>III</t>
  </si>
  <si>
    <t>Phường Bắc Nghĩa</t>
  </si>
  <si>
    <t>HTX Phương Xuân</t>
  </si>
  <si>
    <t>2 trạm bơm điện</t>
  </si>
  <si>
    <t>Hồ Đồng Sơn</t>
  </si>
  <si>
    <t>HTX Phú Mỹ</t>
  </si>
  <si>
    <t>Hồ Bàu Ôốc</t>
  </si>
  <si>
    <t xml:space="preserve">IV </t>
  </si>
  <si>
    <t>Phường Đồng Phú</t>
  </si>
  <si>
    <t>HTX Thống Nhất</t>
  </si>
  <si>
    <t>Trạm bơm Đồng Trọt</t>
  </si>
  <si>
    <t>BQT CTTL Đồng-Lý-Lộc</t>
  </si>
  <si>
    <t>Cống Phóng Thủy</t>
  </si>
  <si>
    <t>V</t>
  </si>
  <si>
    <t>Phường Phú Hải</t>
  </si>
  <si>
    <t>HTX Phú Hải</t>
  </si>
  <si>
    <t>Trạm bơm điện QL1A</t>
  </si>
  <si>
    <t>Đập dâng Rào Lũy</t>
  </si>
  <si>
    <t>VI</t>
  </si>
  <si>
    <t>Phường Bắc Lý</t>
  </si>
  <si>
    <t>HTX Bắc Lý</t>
  </si>
  <si>
    <t>Hồ Bàu Cúi</t>
  </si>
  <si>
    <t>Trạm Bơm dầu</t>
  </si>
  <si>
    <t>VII</t>
  </si>
  <si>
    <t>Xã Lộc Ninh</t>
  </si>
  <si>
    <t>HTX Quang Lộc</t>
  </si>
  <si>
    <t>3 hồ: (Nình,Vèng,Luồng)</t>
  </si>
  <si>
    <t>Bơm dầu</t>
  </si>
  <si>
    <t>HTX Phú Xá</t>
  </si>
  <si>
    <t>2 hồ: (Tuần, Tràm)</t>
  </si>
  <si>
    <t>HTX Hữu Cung</t>
  </si>
  <si>
    <t>Hồ Bàu Me (Miệu)</t>
  </si>
  <si>
    <t>VIII</t>
  </si>
  <si>
    <t>Phường Đức Ninh Đông</t>
  </si>
  <si>
    <t>HTX Đức Ninh Đông</t>
  </si>
  <si>
    <t>Trạm bơm Lương Yến</t>
  </si>
  <si>
    <t>IX</t>
  </si>
  <si>
    <t>Phường Nam Lý</t>
  </si>
  <si>
    <t xml:space="preserve">HTX Nam lý </t>
  </si>
  <si>
    <t>Trạm bơm điện</t>
  </si>
  <si>
    <t xml:space="preserve">b </t>
  </si>
  <si>
    <t>B</t>
  </si>
  <si>
    <t>VỤ HÈ THU</t>
  </si>
  <si>
    <t>Trạm bơm đồng trọt</t>
  </si>
  <si>
    <t>C</t>
  </si>
  <si>
    <t>DIỆN TÍCH NUÔI TRỒNG THỦY SẢN (CẢ NĂM)</t>
  </si>
  <si>
    <t xml:space="preserve">III </t>
  </si>
  <si>
    <t>IV</t>
  </si>
  <si>
    <t>TỔNG CỘNG</t>
  </si>
  <si>
    <t>PHỤ LỤC 01:TỔNG HỢP DIỆN TÍCH VÀ BIỆN PHÁP TƯỚI TIÊU ĐƯỢC MIỄN THỦY LỢI PHÍ</t>
  </si>
  <si>
    <t>Đối tượng dùng nước</t>
  </si>
  <si>
    <t>Tổng diện tích miễn TLP (ha)</t>
  </si>
  <si>
    <t>Biện pháp trọng lực</t>
  </si>
  <si>
    <t>Biện pháp động lực</t>
  </si>
  <si>
    <t>DT tưới tiêu (ha)</t>
  </si>
  <si>
    <t>DT tưới (ha)</t>
  </si>
  <si>
    <t>DT tiêu (ha)</t>
  </si>
  <si>
    <t>Tưới tiêu cây lúa</t>
  </si>
  <si>
    <t>Tưới tiêu chủ động</t>
  </si>
  <si>
    <t>- Vùng miền núi</t>
  </si>
  <si>
    <t>- Vùng khác</t>
  </si>
  <si>
    <t>Sử dụng nguồn nước tạo nguồn từ công trình…..</t>
  </si>
  <si>
    <t>Chủ động 1 phần</t>
  </si>
  <si>
    <t>Tạo nguồn tưới tiêu</t>
  </si>
  <si>
    <t>Tạo nguồn tưới tiêu bậc 2 trở lên</t>
  </si>
  <si>
    <t>- Diện tích xin điều chỉnh</t>
  </si>
  <si>
    <t>Mạ, rau,màu, cây CN ngắn ngày và cây vụ đông</t>
  </si>
  <si>
    <t>Lâm nghiệp, cây ăn quả, hoa, cây dược liệu</t>
  </si>
  <si>
    <t>Làm muối</t>
  </si>
  <si>
    <t>Mạ, rau,màu, cây CN ngắn ngày</t>
  </si>
  <si>
    <t>THỦY SẢN (cả năm)</t>
  </si>
  <si>
    <t>2 trạm bơm điện, tiêu</t>
  </si>
  <si>
    <t>2 trạm bơm điện, tưới</t>
  </si>
  <si>
    <t xml:space="preserve">Bơm dầu </t>
  </si>
  <si>
    <t>Tưới tiêu cho lúa (ha)</t>
  </si>
  <si>
    <t>HTX</t>
  </si>
  <si>
    <t>Phú Vinh</t>
  </si>
  <si>
    <t>Tổng</t>
  </si>
  <si>
    <t>T/hiên Đông Xuân</t>
  </si>
  <si>
    <t>T/hiện hè thu</t>
  </si>
  <si>
    <t>Cộng vào</t>
  </si>
  <si>
    <t>HTX cũ</t>
  </si>
  <si>
    <t xml:space="preserve">Hồ Rẫy Họ </t>
  </si>
  <si>
    <t>Trừ</t>
  </si>
  <si>
    <t>tưới cho trung nghĩa 10ha</t>
  </si>
  <si>
    <t>Hồ Đồng Sơn tưới10ha</t>
  </si>
  <si>
    <t>DT cho thuê SX nông nghiệp</t>
  </si>
  <si>
    <t>đã hợp đồng tạo nguồn PV 20ha</t>
  </si>
  <si>
    <t xml:space="preserve">thừa diện tích </t>
  </si>
  <si>
    <t>- Vùng khác (điều chỉnh tăng)</t>
  </si>
  <si>
    <t>- Vùng khác (điều chỉnh giảm)</t>
  </si>
  <si>
    <t xml:space="preserve">(CÁC CÔNG TRÌNH DO THÀNH PHỐ ĐỒNG HỚI QUẢN LÝ) </t>
  </si>
  <si>
    <t>Tăng đông xuân</t>
  </si>
  <si>
    <t>Đã phê duyệt tại Quyết định số 1172/QĐ-UBND ngày 07/5/2015</t>
  </si>
  <si>
    <t>*</t>
  </si>
  <si>
    <t>DL</t>
  </si>
  <si>
    <t>TL</t>
  </si>
  <si>
    <t>1.569,41 ha</t>
  </si>
  <si>
    <t>710,13 ha</t>
  </si>
  <si>
    <t>(CÁC CÔNG TRÌNH DO THÀNH PHỐ ĐỒNG HỚI QUẢN LÝ)</t>
  </si>
  <si>
    <t xml:space="preserve">- Vùng khác </t>
  </si>
  <si>
    <t xml:space="preserve">* </t>
  </si>
  <si>
    <t>Danh mục và biện pháp tưới tiêu</t>
  </si>
  <si>
    <t>Tưới tiêu động lực</t>
  </si>
  <si>
    <t>Rau màu, cây công nghiệp ngắn ngày (ha)</t>
  </si>
  <si>
    <t xml:space="preserve">Tưới tiêu chủ động  </t>
  </si>
  <si>
    <t>Rau màu, ccây công nghiệp ngắn ngày (ha)</t>
  </si>
  <si>
    <t xml:space="preserve">Tưới tiêu chủ động </t>
  </si>
  <si>
    <t xml:space="preserve"> (Kèm theo Quyết định số 1123/QĐ-UBND ngày 15/4/2016 của UBND tỉnh Quảng Bình)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</si>
</sst>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80">
    <font>
      <sz val="12"/>
      <name val=".VnTime"/>
      <family val="0"/>
    </font>
    <font>
      <sz val="11"/>
      <color indexed="8"/>
      <name val="Calibri"/>
      <family val="2"/>
    </font>
    <font>
      <sz val="8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i/>
      <sz val="13"/>
      <name val="Arial"/>
      <family val="2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i/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Dashed"/>
    </border>
    <border>
      <left style="medium"/>
      <right style="medium"/>
      <top/>
      <bottom style="mediumDashed"/>
    </border>
    <border>
      <left style="medium"/>
      <right style="medium"/>
      <top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12" fillId="33" borderId="10" xfId="42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4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4" fillId="33" borderId="10" xfId="42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0" xfId="42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8" fillId="0" borderId="10" xfId="42" applyNumberFormat="1" applyFont="1" applyFill="1" applyBorder="1" applyAlignment="1">
      <alignment horizontal="center" vertical="center"/>
    </xf>
    <xf numFmtId="0" fontId="13" fillId="0" borderId="10" xfId="42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42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23" fillId="0" borderId="10" xfId="42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10" xfId="42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7" fillId="33" borderId="10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2" fontId="13" fillId="33" borderId="10" xfId="0" applyNumberFormat="1" applyFont="1" applyFill="1" applyBorder="1" applyAlignment="1">
      <alignment horizontal="center" vertical="center"/>
    </xf>
    <xf numFmtId="2" fontId="12" fillId="33" borderId="10" xfId="42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43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29" fillId="0" borderId="11" xfId="0" applyFont="1" applyFill="1" applyBorder="1" applyAlignment="1">
      <alignment/>
    </xf>
    <xf numFmtId="2" fontId="30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/>
    </xf>
    <xf numFmtId="2" fontId="33" fillId="0" borderId="11" xfId="0" applyNumberFormat="1" applyFont="1" applyFill="1" applyBorder="1" applyAlignment="1">
      <alignment horizontal="center" vertical="center" wrapText="1"/>
    </xf>
    <xf numFmtId="43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43" fontId="31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/>
    </xf>
    <xf numFmtId="2" fontId="33" fillId="33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 horizontal="center"/>
    </xf>
    <xf numFmtId="0" fontId="29" fillId="0" borderId="11" xfId="0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43" fontId="26" fillId="0" borderId="11" xfId="0" applyNumberFormat="1" applyFont="1" applyFill="1" applyBorder="1" applyAlignment="1">
      <alignment horizontal="center" vertical="center"/>
    </xf>
    <xf numFmtId="43" fontId="34" fillId="0" borderId="0" xfId="0" applyNumberFormat="1" applyFont="1" applyFill="1" applyAlignment="1">
      <alignment/>
    </xf>
    <xf numFmtId="2" fontId="28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3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0" fillId="37" borderId="0" xfId="0" applyFont="1" applyFill="1" applyBorder="1" applyAlignment="1">
      <alignment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 wrapText="1"/>
    </xf>
    <xf numFmtId="2" fontId="8" fillId="37" borderId="11" xfId="0" applyNumberFormat="1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2" fontId="14" fillId="0" borderId="10" xfId="42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wrapText="1"/>
    </xf>
    <xf numFmtId="4" fontId="15" fillId="33" borderId="11" xfId="0" applyNumberFormat="1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165" fontId="0" fillId="36" borderId="0" xfId="0" applyNumberFormat="1" applyFill="1" applyAlignment="1">
      <alignment/>
    </xf>
    <xf numFmtId="165" fontId="0" fillId="36" borderId="0" xfId="0" applyNumberFormat="1" applyFill="1" applyBorder="1" applyAlignment="1">
      <alignment/>
    </xf>
    <xf numFmtId="165" fontId="10" fillId="36" borderId="0" xfId="0" applyNumberFormat="1" applyFont="1" applyFill="1" applyBorder="1" applyAlignment="1">
      <alignment/>
    </xf>
    <xf numFmtId="165" fontId="10" fillId="36" borderId="0" xfId="0" applyNumberFormat="1" applyFont="1" applyFill="1" applyAlignment="1">
      <alignment/>
    </xf>
    <xf numFmtId="165" fontId="10" fillId="36" borderId="0" xfId="0" applyNumberFormat="1" applyFont="1" applyFill="1" applyAlignment="1">
      <alignment wrapText="1"/>
    </xf>
    <xf numFmtId="165" fontId="8" fillId="36" borderId="11" xfId="0" applyNumberFormat="1" applyFont="1" applyFill="1" applyBorder="1" applyAlignment="1">
      <alignment/>
    </xf>
    <xf numFmtId="165" fontId="11" fillId="36" borderId="11" xfId="0" applyNumberFormat="1" applyFont="1" applyFill="1" applyBorder="1" applyAlignment="1">
      <alignment/>
    </xf>
    <xf numFmtId="165" fontId="15" fillId="36" borderId="11" xfId="0" applyNumberFormat="1" applyFont="1" applyFill="1" applyBorder="1" applyAlignment="1">
      <alignment/>
    </xf>
    <xf numFmtId="2" fontId="13" fillId="0" borderId="10" xfId="42" applyNumberFormat="1" applyFont="1" applyFill="1" applyBorder="1" applyAlignment="1">
      <alignment horizontal="center" vertical="center"/>
    </xf>
    <xf numFmtId="165" fontId="0" fillId="38" borderId="0" xfId="0" applyNumberFormat="1" applyFill="1" applyAlignment="1">
      <alignment/>
    </xf>
    <xf numFmtId="165" fontId="0" fillId="38" borderId="0" xfId="0" applyNumberFormat="1" applyFill="1" applyBorder="1" applyAlignment="1">
      <alignment/>
    </xf>
    <xf numFmtId="165" fontId="10" fillId="38" borderId="0" xfId="0" applyNumberFormat="1" applyFont="1" applyFill="1" applyAlignment="1">
      <alignment/>
    </xf>
    <xf numFmtId="165" fontId="10" fillId="38" borderId="0" xfId="0" applyNumberFormat="1" applyFont="1" applyFill="1" applyAlignment="1">
      <alignment wrapText="1"/>
    </xf>
    <xf numFmtId="165" fontId="8" fillId="38" borderId="11" xfId="0" applyNumberFormat="1" applyFont="1" applyFill="1" applyBorder="1" applyAlignment="1">
      <alignment/>
    </xf>
    <xf numFmtId="165" fontId="15" fillId="38" borderId="11" xfId="0" applyNumberFormat="1" applyFont="1" applyFill="1" applyBorder="1" applyAlignment="1">
      <alignment/>
    </xf>
    <xf numFmtId="165" fontId="11" fillId="38" borderId="11" xfId="0" applyNumberFormat="1" applyFont="1" applyFill="1" applyBorder="1" applyAlignment="1">
      <alignment/>
    </xf>
    <xf numFmtId="3" fontId="0" fillId="39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0" fontId="36" fillId="39" borderId="0" xfId="0" applyFont="1" applyFill="1" applyAlignment="1">
      <alignment/>
    </xf>
    <xf numFmtId="0" fontId="36" fillId="39" borderId="0" xfId="0" applyFont="1" applyFill="1" applyAlignment="1">
      <alignment wrapText="1"/>
    </xf>
    <xf numFmtId="0" fontId="38" fillId="39" borderId="11" xfId="0" applyFont="1" applyFill="1" applyBorder="1" applyAlignment="1">
      <alignment/>
    </xf>
    <xf numFmtId="0" fontId="39" fillId="39" borderId="11" xfId="0" applyFont="1" applyFill="1" applyBorder="1" applyAlignment="1">
      <alignment/>
    </xf>
    <xf numFmtId="0" fontId="19" fillId="39" borderId="11" xfId="0" applyFont="1" applyFill="1" applyBorder="1" applyAlignment="1">
      <alignment/>
    </xf>
    <xf numFmtId="0" fontId="0" fillId="39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2" fontId="15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4" fontId="42" fillId="40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49" fontId="28" fillId="0" borderId="0" xfId="0" applyNumberFormat="1" applyFont="1" applyFill="1" applyBorder="1" applyAlignment="1">
      <alignment/>
    </xf>
    <xf numFmtId="2" fontId="29" fillId="0" borderId="0" xfId="0" applyNumberFormat="1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2" fontId="34" fillId="0" borderId="0" xfId="0" applyNumberFormat="1" applyFont="1" applyFill="1" applyAlignment="1">
      <alignment/>
    </xf>
    <xf numFmtId="0" fontId="19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20" fillId="33" borderId="0" xfId="0" applyNumberFormat="1" applyFont="1" applyFill="1" applyBorder="1" applyAlignment="1">
      <alignment horizontal="center" vertical="center"/>
    </xf>
    <xf numFmtId="2" fontId="2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3" fontId="35" fillId="0" borderId="0" xfId="0" applyNumberFormat="1" applyFont="1" applyFill="1" applyAlignment="1">
      <alignment/>
    </xf>
    <xf numFmtId="0" fontId="37" fillId="0" borderId="13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4" fontId="41" fillId="0" borderId="14" xfId="0" applyNumberFormat="1" applyFont="1" applyBorder="1" applyAlignment="1">
      <alignment horizontal="right" vertical="center" wrapText="1"/>
    </xf>
    <xf numFmtId="4" fontId="27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 horizontal="center"/>
    </xf>
    <xf numFmtId="0" fontId="32" fillId="0" borderId="11" xfId="0" applyFont="1" applyFill="1" applyBorder="1" applyAlignment="1">
      <alignment horizontal="left" vertical="center" wrapText="1"/>
    </xf>
    <xf numFmtId="43" fontId="29" fillId="0" borderId="0" xfId="0" applyNumberFormat="1" applyFont="1" applyFill="1" applyAlignment="1">
      <alignment/>
    </xf>
    <xf numFmtId="2" fontId="32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165" fontId="14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2" fontId="18" fillId="0" borderId="10" xfId="4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165" fontId="15" fillId="0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2" fontId="12" fillId="0" borderId="10" xfId="42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164" fontId="14" fillId="0" borderId="10" xfId="42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/>
    </xf>
    <xf numFmtId="165" fontId="15" fillId="0" borderId="0" xfId="0" applyNumberFormat="1" applyFont="1" applyFill="1" applyAlignment="1">
      <alignment/>
    </xf>
    <xf numFmtId="0" fontId="2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16" fillId="0" borderId="10" xfId="4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165" fontId="22" fillId="0" borderId="11" xfId="0" applyNumberFormat="1" applyFont="1" applyFill="1" applyBorder="1" applyAlignment="1">
      <alignment/>
    </xf>
    <xf numFmtId="165" fontId="22" fillId="0" borderId="0" xfId="0" applyNumberFormat="1" applyFont="1" applyFill="1" applyAlignment="1">
      <alignment horizontal="left"/>
    </xf>
    <xf numFmtId="2" fontId="11" fillId="0" borderId="11" xfId="0" applyNumberFormat="1" applyFont="1" applyFill="1" applyBorder="1" applyAlignment="1">
      <alignment/>
    </xf>
    <xf numFmtId="165" fontId="11" fillId="0" borderId="0" xfId="0" applyNumberFormat="1" applyFont="1" applyFill="1" applyAlignment="1">
      <alignment/>
    </xf>
    <xf numFmtId="2" fontId="14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16" xfId="42" applyNumberFormat="1" applyFont="1" applyFill="1" applyBorder="1" applyAlignment="1">
      <alignment horizontal="center" vertical="center"/>
    </xf>
    <xf numFmtId="0" fontId="18" fillId="0" borderId="16" xfId="42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11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 quotePrefix="1">
      <alignment/>
    </xf>
    <xf numFmtId="2" fontId="28" fillId="33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2" fontId="5" fillId="0" borderId="17" xfId="42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165" fontId="45" fillId="0" borderId="18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42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2" fontId="45" fillId="0" borderId="11" xfId="0" applyNumberFormat="1" applyFont="1" applyFill="1" applyBorder="1" applyAlignment="1">
      <alignment/>
    </xf>
    <xf numFmtId="165" fontId="45" fillId="0" borderId="11" xfId="0" applyNumberFormat="1" applyFont="1" applyFill="1" applyBorder="1" applyAlignment="1">
      <alignment/>
    </xf>
    <xf numFmtId="4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5" fillId="0" borderId="0" xfId="0" applyNumberFormat="1" applyFont="1" applyFill="1" applyAlignment="1">
      <alignment/>
    </xf>
    <xf numFmtId="43" fontId="5" fillId="0" borderId="10" xfId="0" applyNumberFormat="1" applyFont="1" applyFill="1" applyBorder="1" applyAlignment="1">
      <alignment horizontal="left" vertical="center" wrapText="1"/>
    </xf>
    <xf numFmtId="0" fontId="5" fillId="0" borderId="10" xfId="42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33" borderId="12" xfId="0" applyFont="1" applyFill="1" applyBorder="1" applyAlignment="1">
      <alignment horizontal="left"/>
    </xf>
    <xf numFmtId="0" fontId="15" fillId="33" borderId="0" xfId="0" applyFont="1" applyFill="1" applyAlignment="1">
      <alignment horizontal="left"/>
    </xf>
    <xf numFmtId="0" fontId="19" fillId="39" borderId="18" xfId="0" applyFont="1" applyFill="1" applyBorder="1" applyAlignment="1">
      <alignment horizontal="center" vertical="center" wrapText="1"/>
    </xf>
    <xf numFmtId="0" fontId="19" fillId="39" borderId="22" xfId="0" applyFont="1" applyFill="1" applyBorder="1" applyAlignment="1">
      <alignment horizontal="center" vertical="center" wrapText="1"/>
    </xf>
    <xf numFmtId="165" fontId="11" fillId="38" borderId="18" xfId="0" applyNumberFormat="1" applyFont="1" applyFill="1" applyBorder="1" applyAlignment="1">
      <alignment horizontal="center" vertical="center" wrapText="1"/>
    </xf>
    <xf numFmtId="165" fontId="11" fillId="38" borderId="22" xfId="0" applyNumberFormat="1" applyFont="1" applyFill="1" applyBorder="1" applyAlignment="1">
      <alignment horizontal="center" vertical="center" wrapText="1"/>
    </xf>
    <xf numFmtId="165" fontId="19" fillId="37" borderId="18" xfId="0" applyNumberFormat="1" applyFont="1" applyFill="1" applyBorder="1" applyAlignment="1">
      <alignment horizontal="center" vertical="center" wrapText="1"/>
    </xf>
    <xf numFmtId="165" fontId="19" fillId="37" borderId="22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165" fontId="11" fillId="36" borderId="18" xfId="0" applyNumberFormat="1" applyFont="1" applyFill="1" applyBorder="1" applyAlignment="1">
      <alignment horizontal="center" vertical="center" wrapText="1"/>
    </xf>
    <xf numFmtId="165" fontId="11" fillId="36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ra%20soat%20thuyloiphi%20nam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u luc 01 TH DT  mtlp 2016"/>
      <sheetName val="phuluc02 DT MTLPTP 2016"/>
      <sheetName val="TH kinh phi MTLP 2015"/>
      <sheetName val="phu luc 01 TH DT  mtlp 2015"/>
      <sheetName val="phuluc02 DT MTLPTP 2015"/>
    </sheetNames>
    <sheetDataSet>
      <sheetData sheetId="1">
        <row r="12">
          <cell r="J12">
            <v>13.19</v>
          </cell>
          <cell r="R12">
            <v>9.19</v>
          </cell>
        </row>
        <row r="59">
          <cell r="J59">
            <v>13.19</v>
          </cell>
          <cell r="R59">
            <v>9.19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64"/>
  <sheetViews>
    <sheetView zoomScalePageLayoutView="0" workbookViewId="0" topLeftCell="A1">
      <selection activeCell="U16" sqref="U16"/>
    </sheetView>
  </sheetViews>
  <sheetFormatPr defaultColWidth="8.796875" defaultRowHeight="15"/>
  <cols>
    <col min="1" max="1" width="3.69921875" style="0" customWidth="1"/>
    <col min="2" max="2" width="43.19921875" style="0" customWidth="1"/>
    <col min="3" max="3" width="14.19921875" style="0" customWidth="1"/>
    <col min="5" max="5" width="7.69921875" style="0" customWidth="1"/>
    <col min="6" max="6" width="8.8984375" style="0" customWidth="1"/>
    <col min="7" max="7" width="10.5" style="0" customWidth="1"/>
    <col min="8" max="8" width="9.09765625" style="0" customWidth="1"/>
    <col min="9" max="9" width="8.3984375" style="0" customWidth="1"/>
    <col min="10" max="10" width="5.59765625" style="0" customWidth="1"/>
    <col min="11" max="11" width="11.59765625" style="0" hidden="1" customWidth="1"/>
    <col min="12" max="12" width="8.59765625" style="0" hidden="1" customWidth="1"/>
    <col min="13" max="13" width="5.69921875" style="0" hidden="1" customWidth="1"/>
    <col min="14" max="14" width="5.09765625" style="0" hidden="1" customWidth="1"/>
    <col min="15" max="15" width="5.19921875" style="0" hidden="1" customWidth="1"/>
    <col min="16" max="16" width="6" style="0" hidden="1" customWidth="1"/>
    <col min="17" max="17" width="5.69921875" style="0" hidden="1" customWidth="1"/>
    <col min="18" max="18" width="8.69921875" style="0" hidden="1" customWidth="1"/>
    <col min="19" max="19" width="13.09765625" style="0" hidden="1" customWidth="1"/>
    <col min="20" max="20" width="0" style="0" hidden="1" customWidth="1"/>
  </cols>
  <sheetData>
    <row r="1" spans="1:19" s="60" customFormat="1" ht="15" customHeight="1" thickBot="1">
      <c r="A1" s="281" t="s">
        <v>74</v>
      </c>
      <c r="B1" s="281"/>
      <c r="C1" s="281"/>
      <c r="D1" s="281"/>
      <c r="E1" s="281"/>
      <c r="F1" s="281"/>
      <c r="G1" s="281"/>
      <c r="H1" s="281"/>
      <c r="I1" s="281"/>
      <c r="J1" s="59"/>
      <c r="K1" s="189" t="s">
        <v>122</v>
      </c>
      <c r="L1" s="59"/>
      <c r="M1" s="59"/>
      <c r="N1" s="59"/>
      <c r="O1" s="59"/>
      <c r="P1" s="59"/>
      <c r="Q1" s="59"/>
      <c r="R1" s="59"/>
      <c r="S1" s="59"/>
    </row>
    <row r="2" spans="1:11" s="2" customFormat="1" ht="14.25" customHeight="1" thickBot="1">
      <c r="A2" s="281" t="s">
        <v>116</v>
      </c>
      <c r="B2" s="281"/>
      <c r="C2" s="281"/>
      <c r="D2" s="281"/>
      <c r="E2" s="281"/>
      <c r="F2" s="281"/>
      <c r="G2" s="281"/>
      <c r="H2" s="281"/>
      <c r="I2" s="281"/>
      <c r="K2" s="192">
        <v>1417.43</v>
      </c>
    </row>
    <row r="3" spans="1:11" s="2" customFormat="1" ht="25.5" customHeight="1" hidden="1">
      <c r="A3" s="282" t="s">
        <v>2</v>
      </c>
      <c r="B3" s="282"/>
      <c r="C3" s="282"/>
      <c r="D3" s="282"/>
      <c r="E3" s="282"/>
      <c r="F3" s="282"/>
      <c r="G3" s="282"/>
      <c r="H3" s="282"/>
      <c r="I3" s="282"/>
      <c r="K3" s="190" t="s">
        <v>123</v>
      </c>
    </row>
    <row r="4" spans="1:11" s="3" customFormat="1" ht="17.25" customHeight="1" thickBot="1">
      <c r="A4" s="283" t="s">
        <v>133</v>
      </c>
      <c r="B4" s="283"/>
      <c r="C4" s="283"/>
      <c r="D4" s="283"/>
      <c r="E4" s="283"/>
      <c r="F4" s="283"/>
      <c r="G4" s="283"/>
      <c r="H4" s="283"/>
      <c r="I4" s="283"/>
      <c r="J4" s="283"/>
      <c r="K4" s="190">
        <v>707.3</v>
      </c>
    </row>
    <row r="5" spans="1:11" s="66" customFormat="1" ht="27.75" customHeight="1" thickBot="1">
      <c r="A5" s="287" t="s">
        <v>0</v>
      </c>
      <c r="B5" s="287" t="s">
        <v>75</v>
      </c>
      <c r="C5" s="289" t="s">
        <v>76</v>
      </c>
      <c r="D5" s="284" t="s">
        <v>77</v>
      </c>
      <c r="E5" s="285"/>
      <c r="F5" s="286"/>
      <c r="G5" s="284" t="s">
        <v>78</v>
      </c>
      <c r="H5" s="285"/>
      <c r="I5" s="286"/>
      <c r="K5" s="190">
        <v>44.76</v>
      </c>
    </row>
    <row r="6" spans="1:11" s="66" customFormat="1" ht="39" customHeight="1" thickBot="1">
      <c r="A6" s="288"/>
      <c r="B6" s="288"/>
      <c r="C6" s="290"/>
      <c r="D6" s="67" t="s">
        <v>79</v>
      </c>
      <c r="E6" s="67" t="s">
        <v>80</v>
      </c>
      <c r="F6" s="67" t="s">
        <v>81</v>
      </c>
      <c r="G6" s="67" t="s">
        <v>79</v>
      </c>
      <c r="H6" s="67" t="s">
        <v>80</v>
      </c>
      <c r="I6" s="67" t="s">
        <v>81</v>
      </c>
      <c r="K6" s="191">
        <v>107.22</v>
      </c>
    </row>
    <row r="7" spans="1:13" s="66" customFormat="1" ht="16.5" customHeight="1">
      <c r="A7" s="68"/>
      <c r="B7" s="68" t="s">
        <v>73</v>
      </c>
      <c r="C7" s="69">
        <f>C8+C27+C54</f>
        <v>1556.1100000000001</v>
      </c>
      <c r="D7" s="69"/>
      <c r="E7" s="69">
        <f>E8+E27+E54</f>
        <v>531.72</v>
      </c>
      <c r="F7" s="69">
        <f>F8+F27+F54</f>
        <v>200</v>
      </c>
      <c r="G7" s="69">
        <f>G8+G27+G54</f>
        <v>38.629999999999995</v>
      </c>
      <c r="H7" s="69">
        <f>H8+H27+H54</f>
        <v>602.8299999999999</v>
      </c>
      <c r="I7" s="69">
        <f>I8+I27+I54</f>
        <v>144.3</v>
      </c>
      <c r="J7" s="70"/>
      <c r="K7" s="193">
        <f>K2+K5+K6</f>
        <v>1569.41</v>
      </c>
      <c r="L7" s="71"/>
      <c r="M7" s="72"/>
    </row>
    <row r="8" spans="1:12" s="66" customFormat="1" ht="16.5" customHeight="1">
      <c r="A8" s="68" t="s">
        <v>11</v>
      </c>
      <c r="B8" s="68" t="s">
        <v>12</v>
      </c>
      <c r="C8" s="69">
        <f aca="true" t="shared" si="0" ref="C8:I8">C9+C20</f>
        <v>853.3100000000001</v>
      </c>
      <c r="D8" s="69"/>
      <c r="E8" s="69">
        <f t="shared" si="0"/>
        <v>261.72999999999996</v>
      </c>
      <c r="F8" s="69">
        <f t="shared" si="0"/>
        <v>150</v>
      </c>
      <c r="G8" s="69">
        <f t="shared" si="0"/>
        <v>38.629999999999995</v>
      </c>
      <c r="H8" s="69">
        <f t="shared" si="0"/>
        <v>253.01999999999998</v>
      </c>
      <c r="I8" s="69">
        <f t="shared" si="0"/>
        <v>111.30000000000001</v>
      </c>
      <c r="J8" s="70"/>
      <c r="K8" s="72">
        <f>C7-1569.41</f>
        <v>-13.299999999999955</v>
      </c>
      <c r="L8" s="71"/>
    </row>
    <row r="9" spans="1:12" s="106" customFormat="1" ht="16.5" customHeight="1">
      <c r="A9" s="68" t="s">
        <v>13</v>
      </c>
      <c r="B9" s="105" t="s">
        <v>82</v>
      </c>
      <c r="C9" s="69">
        <f>C14</f>
        <v>830.9300000000001</v>
      </c>
      <c r="D9" s="69"/>
      <c r="E9" s="69">
        <f>E14</f>
        <v>248.53999999999996</v>
      </c>
      <c r="F9" s="69">
        <f>F14-D9</f>
        <v>150</v>
      </c>
      <c r="G9" s="69">
        <f>G14</f>
        <v>38.629999999999995</v>
      </c>
      <c r="H9" s="69">
        <f>H14</f>
        <v>243.82999999999998</v>
      </c>
      <c r="I9" s="69">
        <f>I14-G9</f>
        <v>111.30000000000001</v>
      </c>
      <c r="J9" s="188"/>
      <c r="K9" s="106" t="s">
        <v>117</v>
      </c>
      <c r="L9" s="107"/>
    </row>
    <row r="10" spans="1:12" s="76" customFormat="1" ht="33" hidden="1">
      <c r="A10" s="78" t="s">
        <v>16</v>
      </c>
      <c r="B10" s="195" t="s">
        <v>118</v>
      </c>
      <c r="C10" s="74">
        <f>SUM(D10:I10)</f>
        <v>865.96</v>
      </c>
      <c r="D10" s="74"/>
      <c r="E10" s="74">
        <v>271.69</v>
      </c>
      <c r="F10" s="91">
        <f>F12+F13</f>
        <v>150</v>
      </c>
      <c r="G10" s="74"/>
      <c r="H10" s="74">
        <f>H12+H13</f>
        <v>280.71</v>
      </c>
      <c r="I10" s="95">
        <f>I12+I13</f>
        <v>163.56</v>
      </c>
      <c r="J10" s="196"/>
      <c r="K10" s="96">
        <f>H14+I14+H34+I34</f>
        <v>707.22</v>
      </c>
      <c r="L10" s="77" t="s">
        <v>120</v>
      </c>
    </row>
    <row r="11" spans="1:12" s="83" customFormat="1" ht="16.5" customHeight="1" hidden="1">
      <c r="A11" s="78" t="s">
        <v>119</v>
      </c>
      <c r="B11" s="79" t="s">
        <v>83</v>
      </c>
      <c r="C11" s="80">
        <f>SUM(D11:I11)</f>
        <v>865.96</v>
      </c>
      <c r="D11" s="80"/>
      <c r="E11" s="80">
        <f>E12+E13</f>
        <v>271.69</v>
      </c>
      <c r="F11" s="81">
        <f>F12+F13</f>
        <v>150</v>
      </c>
      <c r="G11" s="80"/>
      <c r="H11" s="80">
        <f>H12+H13</f>
        <v>280.71</v>
      </c>
      <c r="I11" s="82">
        <f>I12+I13</f>
        <v>163.56</v>
      </c>
      <c r="K11" s="179">
        <f>E14+F14+E34+F34</f>
        <v>647.0799999999999</v>
      </c>
      <c r="L11" s="84" t="s">
        <v>121</v>
      </c>
    </row>
    <row r="12" spans="1:12" s="76" customFormat="1" ht="16.5" customHeight="1" hidden="1">
      <c r="A12" s="85"/>
      <c r="B12" s="86" t="s">
        <v>84</v>
      </c>
      <c r="C12" s="87"/>
      <c r="D12" s="87"/>
      <c r="E12" s="87"/>
      <c r="F12" s="87"/>
      <c r="G12" s="87"/>
      <c r="H12" s="87"/>
      <c r="I12" s="87"/>
      <c r="J12" s="196"/>
      <c r="K12" s="96">
        <f>C20+C51</f>
        <v>44.76</v>
      </c>
      <c r="L12" s="77"/>
    </row>
    <row r="13" spans="1:12" s="76" customFormat="1" ht="16.5" customHeight="1" hidden="1">
      <c r="A13" s="85"/>
      <c r="B13" s="86" t="s">
        <v>85</v>
      </c>
      <c r="C13" s="87">
        <v>865.96</v>
      </c>
      <c r="D13" s="87"/>
      <c r="E13" s="87">
        <v>271.69</v>
      </c>
      <c r="F13" s="87">
        <v>150</v>
      </c>
      <c r="G13" s="87"/>
      <c r="H13" s="87">
        <v>280.71</v>
      </c>
      <c r="I13" s="87">
        <v>163.56</v>
      </c>
      <c r="J13" s="196"/>
      <c r="K13" s="96">
        <f>C60</f>
        <v>118.42</v>
      </c>
      <c r="L13" s="77"/>
    </row>
    <row r="14" spans="1:12" s="83" customFormat="1" ht="16.5" customHeight="1" hidden="1">
      <c r="A14" s="78" t="s">
        <v>18</v>
      </c>
      <c r="B14" s="93" t="s">
        <v>90</v>
      </c>
      <c r="C14" s="80">
        <f>C15</f>
        <v>830.9300000000001</v>
      </c>
      <c r="D14" s="80"/>
      <c r="E14" s="80">
        <f>E15</f>
        <v>248.53999999999996</v>
      </c>
      <c r="F14" s="80">
        <f>F15</f>
        <v>150</v>
      </c>
      <c r="G14" s="80">
        <f>G15</f>
        <v>38.629999999999995</v>
      </c>
      <c r="H14" s="80">
        <f>H15</f>
        <v>243.82999999999998</v>
      </c>
      <c r="I14" s="80">
        <f>I15</f>
        <v>149.93</v>
      </c>
      <c r="K14" s="179">
        <f>K10+K11+K12+K13</f>
        <v>1517.48</v>
      </c>
      <c r="L14" s="194">
        <f>K10+K11</f>
        <v>1354.3</v>
      </c>
    </row>
    <row r="15" spans="1:12" s="83" customFormat="1" ht="16.5" customHeight="1" hidden="1">
      <c r="A15" s="78" t="s">
        <v>119</v>
      </c>
      <c r="B15" s="79" t="s">
        <v>83</v>
      </c>
      <c r="C15" s="80">
        <f>C11+C18-C19</f>
        <v>830.9300000000001</v>
      </c>
      <c r="D15" s="80"/>
      <c r="E15" s="80">
        <f>E11+E18-E19</f>
        <v>248.53999999999996</v>
      </c>
      <c r="F15" s="80">
        <f>F11+F18-F19</f>
        <v>150</v>
      </c>
      <c r="G15" s="80">
        <f>G18</f>
        <v>38.629999999999995</v>
      </c>
      <c r="H15" s="80">
        <f>H11+H18-H19</f>
        <v>243.82999999999998</v>
      </c>
      <c r="I15" s="80">
        <f>I11+I18-I19</f>
        <v>149.93</v>
      </c>
      <c r="K15" s="179">
        <f>C10+C18-C19</f>
        <v>830.9300000000001</v>
      </c>
      <c r="L15" s="84"/>
    </row>
    <row r="16" spans="1:12" s="66" customFormat="1" ht="16.5" customHeight="1">
      <c r="A16" s="85"/>
      <c r="B16" s="86" t="s">
        <v>84</v>
      </c>
      <c r="C16" s="94"/>
      <c r="D16" s="87"/>
      <c r="E16" s="87"/>
      <c r="F16" s="87"/>
      <c r="G16" s="87"/>
      <c r="H16" s="87"/>
      <c r="I16" s="87"/>
      <c r="L16" s="89">
        <f>271.69-49.3+13.8+12.35</f>
        <v>248.54</v>
      </c>
    </row>
    <row r="17" spans="1:12" s="66" customFormat="1" ht="16.5" customHeight="1">
      <c r="A17" s="85"/>
      <c r="B17" s="250" t="s">
        <v>125</v>
      </c>
      <c r="C17" s="94">
        <f>C15</f>
        <v>830.9300000000001</v>
      </c>
      <c r="D17" s="87"/>
      <c r="E17" s="87">
        <f>E15</f>
        <v>248.53999999999996</v>
      </c>
      <c r="F17" s="87">
        <f>F15</f>
        <v>150</v>
      </c>
      <c r="G17" s="87">
        <f>G15</f>
        <v>38.629999999999995</v>
      </c>
      <c r="H17" s="87">
        <f>H15</f>
        <v>243.82999999999998</v>
      </c>
      <c r="I17" s="87">
        <f>I15</f>
        <v>149.93</v>
      </c>
      <c r="L17" s="89"/>
    </row>
    <row r="18" spans="1:12" s="66" customFormat="1" ht="16.5" customHeight="1" hidden="1">
      <c r="A18" s="85"/>
      <c r="B18" s="250" t="s">
        <v>114</v>
      </c>
      <c r="C18" s="90">
        <f>SUM(D18:I18)</f>
        <v>109.48</v>
      </c>
      <c r="D18" s="87"/>
      <c r="E18" s="90">
        <f>'P luc 02 dmuc bptt mtlp2016'!V18+'P luc 02 dmuc bptt mtlp2016'!V43+12.35</f>
        <v>26.15</v>
      </c>
      <c r="F18" s="87"/>
      <c r="G18" s="87">
        <f>'P luc 02 dmuc bptt mtlp2016'!P12</f>
        <v>38.629999999999995</v>
      </c>
      <c r="H18" s="104">
        <f>'P luc 02 dmuc bptt mtlp2016'!V13</f>
        <v>19.7</v>
      </c>
      <c r="I18" s="90">
        <f>'P luc 02 dmuc bptt mtlp2016'!N22</f>
        <v>25</v>
      </c>
      <c r="L18" s="71">
        <f>E19-E18</f>
        <v>23.15</v>
      </c>
    </row>
    <row r="19" spans="1:12" s="66" customFormat="1" ht="16.5" customHeight="1" hidden="1">
      <c r="A19" s="85"/>
      <c r="B19" s="86" t="s">
        <v>115</v>
      </c>
      <c r="C19" s="90">
        <f>SUM(D19:I19)</f>
        <v>144.51</v>
      </c>
      <c r="D19" s="87"/>
      <c r="E19" s="87">
        <f>'P luc 02 dmuc bptt mtlp2016'!W24+'P luc 02 dmuc bptt mtlp2016'!W37+'P luc 02 dmuc bptt mtlp2016'!W46+'P luc 02 dmuc bptt mtlp2016'!W49</f>
        <v>49.3</v>
      </c>
      <c r="F19" s="87"/>
      <c r="G19" s="87"/>
      <c r="H19" s="87">
        <f>'P luc 02 dmuc bptt mtlp2016'!W29+'P luc 02 dmuc bptt mtlp2016'!W34+'P luc 02 dmuc bptt mtlp2016'!W56+12.35+G18</f>
        <v>56.58</v>
      </c>
      <c r="I19" s="87">
        <v>38.63</v>
      </c>
      <c r="K19" s="66">
        <f>C18-C19</f>
        <v>-35.02999999999999</v>
      </c>
      <c r="L19" s="71">
        <f>L18+E9</f>
        <v>271.68999999999994</v>
      </c>
    </row>
    <row r="20" spans="1:12" s="76" customFormat="1" ht="16.5" customHeight="1">
      <c r="A20" s="68" t="s">
        <v>20</v>
      </c>
      <c r="B20" s="75" t="s">
        <v>91</v>
      </c>
      <c r="C20" s="74">
        <f>SUM(D20:I20)</f>
        <v>22.38</v>
      </c>
      <c r="D20" s="95"/>
      <c r="E20" s="95">
        <f>E21+E22</f>
        <v>13.19</v>
      </c>
      <c r="F20" s="95"/>
      <c r="G20" s="95"/>
      <c r="H20" s="95">
        <f>H21+H22</f>
        <v>9.19</v>
      </c>
      <c r="I20" s="95"/>
      <c r="J20" s="96"/>
      <c r="K20" s="96" t="e">
        <f>#REF!+#REF!+E63</f>
        <v>#REF!</v>
      </c>
      <c r="L20" s="97"/>
    </row>
    <row r="21" spans="1:12" s="66" customFormat="1" ht="16.5" customHeight="1">
      <c r="A21" s="98"/>
      <c r="B21" s="86" t="s">
        <v>84</v>
      </c>
      <c r="C21" s="87"/>
      <c r="D21" s="90"/>
      <c r="E21" s="90"/>
      <c r="F21" s="90"/>
      <c r="G21" s="90"/>
      <c r="H21" s="90"/>
      <c r="I21" s="90"/>
      <c r="J21" s="72"/>
      <c r="L21" s="71"/>
    </row>
    <row r="22" spans="1:12" s="66" customFormat="1" ht="16.5" customHeight="1">
      <c r="A22" s="100"/>
      <c r="B22" s="86" t="s">
        <v>85</v>
      </c>
      <c r="C22" s="87">
        <f>SUM(D22:I22)</f>
        <v>22.38</v>
      </c>
      <c r="D22" s="90"/>
      <c r="E22" s="87">
        <f>'[1]phuluc02 DT MTLPTP 2016'!J12</f>
        <v>13.19</v>
      </c>
      <c r="F22" s="90"/>
      <c r="G22" s="90"/>
      <c r="H22" s="90">
        <f>'[1]phuluc02 DT MTLPTP 2016'!R12</f>
        <v>9.19</v>
      </c>
      <c r="I22" s="90"/>
      <c r="J22" s="72"/>
      <c r="L22" s="71">
        <f>E9+L18</f>
        <v>271.68999999999994</v>
      </c>
    </row>
    <row r="23" spans="1:12" s="76" customFormat="1" ht="16.5" customHeight="1" hidden="1">
      <c r="A23" s="100"/>
      <c r="B23" s="73" t="s">
        <v>92</v>
      </c>
      <c r="C23" s="87">
        <f>SUM(D23:I23)</f>
        <v>0</v>
      </c>
      <c r="D23" s="95"/>
      <c r="E23" s="95"/>
      <c r="F23" s="95"/>
      <c r="G23" s="95"/>
      <c r="H23" s="95"/>
      <c r="I23" s="95"/>
      <c r="L23" s="77"/>
    </row>
    <row r="24" spans="1:12" s="66" customFormat="1" ht="16.5" customHeight="1" hidden="1">
      <c r="A24" s="98" t="s">
        <v>25</v>
      </c>
      <c r="B24" s="99" t="s">
        <v>84</v>
      </c>
      <c r="C24" s="87">
        <f>SUM(D24:I24)</f>
        <v>0</v>
      </c>
      <c r="D24" s="90"/>
      <c r="E24" s="90"/>
      <c r="F24" s="90"/>
      <c r="G24" s="90"/>
      <c r="H24" s="90"/>
      <c r="I24" s="90"/>
      <c r="L24" s="89"/>
    </row>
    <row r="25" spans="1:12" s="66" customFormat="1" ht="16.5" customHeight="1" hidden="1">
      <c r="A25" s="100"/>
      <c r="B25" s="99" t="s">
        <v>85</v>
      </c>
      <c r="C25" s="87">
        <f>SUM(D25:I25)</f>
        <v>0</v>
      </c>
      <c r="D25" s="90"/>
      <c r="E25" s="90"/>
      <c r="F25" s="90"/>
      <c r="G25" s="90"/>
      <c r="H25" s="90"/>
      <c r="I25" s="90"/>
      <c r="L25" s="89"/>
    </row>
    <row r="26" spans="1:12" s="76" customFormat="1" ht="16.5" customHeight="1" hidden="1">
      <c r="A26" s="100"/>
      <c r="B26" s="73" t="s">
        <v>93</v>
      </c>
      <c r="C26" s="87">
        <f>SUM(D26:I26)</f>
        <v>0</v>
      </c>
      <c r="D26" s="95"/>
      <c r="E26" s="95"/>
      <c r="F26" s="95"/>
      <c r="G26" s="95"/>
      <c r="H26" s="95"/>
      <c r="I26" s="95"/>
      <c r="L26" s="77"/>
    </row>
    <row r="27" spans="1:12" s="66" customFormat="1" ht="16.5" customHeight="1">
      <c r="A27" s="68" t="s">
        <v>66</v>
      </c>
      <c r="B27" s="68" t="s">
        <v>67</v>
      </c>
      <c r="C27" s="69">
        <f aca="true" t="shared" si="1" ref="C27:H27">C28+C51</f>
        <v>584.38</v>
      </c>
      <c r="D27" s="69"/>
      <c r="E27" s="69">
        <f t="shared" si="1"/>
        <v>211.73000000000002</v>
      </c>
      <c r="F27" s="69">
        <f t="shared" si="1"/>
        <v>50</v>
      </c>
      <c r="G27" s="69"/>
      <c r="H27" s="69">
        <f t="shared" si="1"/>
        <v>289.65</v>
      </c>
      <c r="I27" s="69">
        <f>I28</f>
        <v>33</v>
      </c>
      <c r="L27" s="89"/>
    </row>
    <row r="28" spans="1:12" s="76" customFormat="1" ht="16.5" customHeight="1">
      <c r="A28" s="68" t="s">
        <v>13</v>
      </c>
      <c r="B28" s="75" t="s">
        <v>82</v>
      </c>
      <c r="C28" s="74">
        <f>C34</f>
        <v>562</v>
      </c>
      <c r="D28" s="74"/>
      <c r="E28" s="74">
        <f>E34</f>
        <v>198.54000000000002</v>
      </c>
      <c r="F28" s="74">
        <f>F34-D28</f>
        <v>50</v>
      </c>
      <c r="G28" s="74"/>
      <c r="H28" s="74">
        <f>H34</f>
        <v>280.46</v>
      </c>
      <c r="I28" s="74">
        <f>I34</f>
        <v>33</v>
      </c>
      <c r="J28" s="96"/>
      <c r="L28" s="77">
        <f>1.1+3.99+0.51</f>
        <v>5.6</v>
      </c>
    </row>
    <row r="29" spans="1:12" s="76" customFormat="1" ht="33" hidden="1">
      <c r="A29" s="78" t="s">
        <v>16</v>
      </c>
      <c r="B29" s="195" t="s">
        <v>118</v>
      </c>
      <c r="C29" s="74">
        <f>C30</f>
        <v>551.47</v>
      </c>
      <c r="D29" s="74"/>
      <c r="E29" s="74">
        <f>E30</f>
        <v>235.61</v>
      </c>
      <c r="F29" s="74">
        <f>F30</f>
        <v>50</v>
      </c>
      <c r="G29" s="74"/>
      <c r="H29" s="74">
        <f>H30</f>
        <v>257.86</v>
      </c>
      <c r="I29" s="74">
        <f>I30</f>
        <v>8</v>
      </c>
      <c r="J29" s="196"/>
      <c r="L29" s="77"/>
    </row>
    <row r="30" spans="1:12" s="83" customFormat="1" ht="16.5" customHeight="1" hidden="1">
      <c r="A30" s="101" t="s">
        <v>119</v>
      </c>
      <c r="B30" s="79" t="s">
        <v>83</v>
      </c>
      <c r="C30" s="80">
        <f>SUM(D30:I30)</f>
        <v>551.47</v>
      </c>
      <c r="D30" s="81"/>
      <c r="E30" s="197">
        <v>235.61</v>
      </c>
      <c r="F30" s="197">
        <v>50</v>
      </c>
      <c r="G30" s="82"/>
      <c r="H30" s="82">
        <v>257.86</v>
      </c>
      <c r="I30" s="80">
        <v>8</v>
      </c>
      <c r="K30" s="179">
        <f>H19+H38</f>
        <v>62.18</v>
      </c>
      <c r="L30" s="84">
        <f>19.14+8.45+20.51+1.2</f>
        <v>49.300000000000004</v>
      </c>
    </row>
    <row r="31" spans="1:12" s="66" customFormat="1" ht="16.5" customHeight="1" hidden="1">
      <c r="A31" s="78"/>
      <c r="B31" s="86" t="s">
        <v>84</v>
      </c>
      <c r="C31" s="87"/>
      <c r="D31" s="87"/>
      <c r="E31" s="87"/>
      <c r="F31" s="81"/>
      <c r="G31" s="87"/>
      <c r="H31" s="87"/>
      <c r="I31" s="87"/>
      <c r="L31" s="89"/>
    </row>
    <row r="32" spans="1:12" s="66" customFormat="1" ht="16.5" customHeight="1" hidden="1">
      <c r="A32" s="85"/>
      <c r="B32" s="86" t="s">
        <v>85</v>
      </c>
      <c r="C32" s="80">
        <f>SUM(D32:I32)</f>
        <v>551.47</v>
      </c>
      <c r="D32" s="81"/>
      <c r="E32" s="197">
        <v>235.61</v>
      </c>
      <c r="F32" s="197">
        <v>50</v>
      </c>
      <c r="G32" s="82"/>
      <c r="H32" s="82">
        <v>257.86</v>
      </c>
      <c r="I32" s="80">
        <v>8</v>
      </c>
      <c r="L32" s="89"/>
    </row>
    <row r="33" spans="1:12" s="66" customFormat="1" ht="16.5" customHeight="1" hidden="1">
      <c r="A33" s="85" t="s">
        <v>18</v>
      </c>
      <c r="B33" s="93" t="s">
        <v>90</v>
      </c>
      <c r="C33" s="80"/>
      <c r="D33" s="90"/>
      <c r="E33" s="90"/>
      <c r="F33" s="90"/>
      <c r="G33" s="90"/>
      <c r="H33" s="90"/>
      <c r="I33" s="90"/>
      <c r="K33" s="66">
        <f>C19+C38</f>
        <v>199.98</v>
      </c>
      <c r="L33" s="89"/>
    </row>
    <row r="34" spans="1:12" s="83" customFormat="1" ht="16.5" customHeight="1">
      <c r="A34" s="78" t="s">
        <v>119</v>
      </c>
      <c r="B34" s="79" t="s">
        <v>83</v>
      </c>
      <c r="C34" s="80">
        <f>C30+C37-C38</f>
        <v>562</v>
      </c>
      <c r="D34" s="80"/>
      <c r="E34" s="80">
        <f>E30+E37-E38</f>
        <v>198.54000000000002</v>
      </c>
      <c r="F34" s="80">
        <f>F30+F37-F38</f>
        <v>50</v>
      </c>
      <c r="G34" s="80"/>
      <c r="H34" s="80">
        <f>H30+H37-H38</f>
        <v>280.46</v>
      </c>
      <c r="I34" s="80">
        <f>I30+I37-I38</f>
        <v>33</v>
      </c>
      <c r="K34" s="179">
        <f>C29+C38-C39</f>
        <v>606.94</v>
      </c>
      <c r="L34" s="84"/>
    </row>
    <row r="35" spans="1:12" s="66" customFormat="1" ht="16.5" customHeight="1">
      <c r="A35" s="78"/>
      <c r="B35" s="86" t="s">
        <v>84</v>
      </c>
      <c r="C35" s="87"/>
      <c r="D35" s="87"/>
      <c r="E35" s="87"/>
      <c r="F35" s="81"/>
      <c r="G35" s="87"/>
      <c r="H35" s="87"/>
      <c r="I35" s="87"/>
      <c r="L35" s="89"/>
    </row>
    <row r="36" spans="1:12" s="66" customFormat="1" ht="16.5" customHeight="1">
      <c r="A36" s="78"/>
      <c r="B36" s="250" t="s">
        <v>125</v>
      </c>
      <c r="C36" s="87">
        <f>C34</f>
        <v>562</v>
      </c>
      <c r="D36" s="87"/>
      <c r="E36" s="87">
        <f>E34</f>
        <v>198.54000000000002</v>
      </c>
      <c r="F36" s="81">
        <f>F34</f>
        <v>50</v>
      </c>
      <c r="G36" s="87"/>
      <c r="H36" s="87">
        <f>H34</f>
        <v>280.46</v>
      </c>
      <c r="I36" s="87">
        <f>I34</f>
        <v>33</v>
      </c>
      <c r="L36" s="89"/>
    </row>
    <row r="37" spans="1:12" s="66" customFormat="1" ht="16.5" customHeight="1" hidden="1">
      <c r="A37" s="85"/>
      <c r="B37" s="86" t="s">
        <v>114</v>
      </c>
      <c r="C37" s="87">
        <f>SUM(D37:I37)</f>
        <v>66</v>
      </c>
      <c r="D37" s="104"/>
      <c r="E37" s="90">
        <f>'P luc 02 dmuc bptt mtlp2016'!V66+'P luc 02 dmuc bptt mtlp2016'!V91</f>
        <v>12.8</v>
      </c>
      <c r="F37" s="90"/>
      <c r="G37" s="104"/>
      <c r="H37" s="90">
        <f>'P luc 02 dmuc bptt mtlp2016'!V61+'P luc 02 dmuc bptt mtlp2016'!V86</f>
        <v>28.2</v>
      </c>
      <c r="I37" s="90">
        <f>'P luc 02 dmuc bptt mtlp2016'!V70</f>
        <v>25</v>
      </c>
      <c r="K37" s="72">
        <f>E38+E19</f>
        <v>99.16999999999999</v>
      </c>
      <c r="L37" s="89"/>
    </row>
    <row r="38" spans="1:12" s="76" customFormat="1" ht="16.5" customHeight="1" hidden="1">
      <c r="A38" s="85"/>
      <c r="B38" s="86" t="s">
        <v>115</v>
      </c>
      <c r="C38" s="90">
        <f>SUM(D38:I38)</f>
        <v>55.47</v>
      </c>
      <c r="D38" s="95"/>
      <c r="E38" s="82">
        <f>'P luc 02 dmuc bptt mtlp2016'!W72+'P luc 02 dmuc bptt mtlp2016'!W85+'P luc 02 dmuc bptt mtlp2016'!W93+'P luc 02 dmuc bptt mtlp2016'!W95</f>
        <v>49.87</v>
      </c>
      <c r="F38" s="95"/>
      <c r="G38" s="95"/>
      <c r="H38" s="104">
        <f>'P luc 02 dmuc bptt mtlp2016'!W77+'P luc 02 dmuc bptt mtlp2016'!W84+'P luc 02 dmuc bptt mtlp2016'!W101</f>
        <v>5.6</v>
      </c>
      <c r="I38" s="197"/>
      <c r="J38" s="96"/>
      <c r="K38" s="96"/>
      <c r="L38" s="77"/>
    </row>
    <row r="39" spans="1:12" s="66" customFormat="1" ht="16.5" customHeight="1" hidden="1">
      <c r="A39" s="101"/>
      <c r="B39" s="88" t="s">
        <v>86</v>
      </c>
      <c r="C39" s="102"/>
      <c r="D39" s="90"/>
      <c r="E39" s="90"/>
      <c r="F39" s="81"/>
      <c r="G39" s="81"/>
      <c r="H39" s="90"/>
      <c r="I39" s="90"/>
      <c r="J39" s="70"/>
      <c r="L39" s="89"/>
    </row>
    <row r="40" spans="1:12" s="66" customFormat="1" ht="16.5" customHeight="1" hidden="1">
      <c r="A40" s="85" t="s">
        <v>18</v>
      </c>
      <c r="B40" s="86" t="s">
        <v>84</v>
      </c>
      <c r="C40" s="102"/>
      <c r="D40" s="90"/>
      <c r="E40" s="90"/>
      <c r="F40" s="81"/>
      <c r="G40" s="81"/>
      <c r="H40" s="90"/>
      <c r="I40" s="90"/>
      <c r="L40" s="89"/>
    </row>
    <row r="41" spans="1:12" s="66" customFormat="1" ht="16.5" customHeight="1" hidden="1">
      <c r="A41" s="85"/>
      <c r="B41" s="86" t="s">
        <v>85</v>
      </c>
      <c r="C41" s="102"/>
      <c r="D41" s="90"/>
      <c r="E41" s="90"/>
      <c r="F41" s="81"/>
      <c r="G41" s="81"/>
      <c r="H41" s="90"/>
      <c r="I41" s="90"/>
      <c r="L41" s="89"/>
    </row>
    <row r="42" spans="1:12" s="83" customFormat="1" ht="16.5" customHeight="1" hidden="1">
      <c r="A42" s="85"/>
      <c r="B42" s="79" t="s">
        <v>87</v>
      </c>
      <c r="C42" s="80">
        <f>SUM(D42:I42)</f>
        <v>0</v>
      </c>
      <c r="D42" s="81"/>
      <c r="E42" s="82">
        <f>E43+E44</f>
        <v>0</v>
      </c>
      <c r="F42" s="81"/>
      <c r="G42" s="81"/>
      <c r="H42" s="81"/>
      <c r="I42" s="81"/>
      <c r="L42" s="84"/>
    </row>
    <row r="43" spans="1:12" s="66" customFormat="1" ht="16.5" customHeight="1" hidden="1">
      <c r="A43" s="78">
        <v>2</v>
      </c>
      <c r="B43" s="86" t="s">
        <v>84</v>
      </c>
      <c r="C43" s="81"/>
      <c r="D43" s="87"/>
      <c r="E43" s="87"/>
      <c r="F43" s="87"/>
      <c r="G43" s="87"/>
      <c r="H43" s="87"/>
      <c r="I43" s="87"/>
      <c r="L43" s="89"/>
    </row>
    <row r="44" spans="1:12" s="66" customFormat="1" ht="16.5" customHeight="1" hidden="1">
      <c r="A44" s="85"/>
      <c r="B44" s="86" t="s">
        <v>85</v>
      </c>
      <c r="C44" s="87">
        <f>SUM(D44:I44)</f>
        <v>0</v>
      </c>
      <c r="D44" s="87"/>
      <c r="E44" s="87"/>
      <c r="F44" s="87"/>
      <c r="G44" s="87"/>
      <c r="H44" s="87"/>
      <c r="I44" s="87"/>
      <c r="L44" s="89"/>
    </row>
    <row r="45" spans="1:12" s="83" customFormat="1" ht="16.5" customHeight="1" hidden="1">
      <c r="A45" s="85"/>
      <c r="B45" s="79" t="s">
        <v>88</v>
      </c>
      <c r="C45" s="87">
        <f>SUM(D45:I45)</f>
        <v>0</v>
      </c>
      <c r="D45" s="81"/>
      <c r="E45" s="87">
        <f>E46+E47</f>
        <v>0</v>
      </c>
      <c r="F45" s="81"/>
      <c r="G45" s="81"/>
      <c r="H45" s="81"/>
      <c r="I45" s="81"/>
      <c r="J45" s="103"/>
      <c r="L45" s="84"/>
    </row>
    <row r="46" spans="1:12" s="66" customFormat="1" ht="16.5" customHeight="1" hidden="1">
      <c r="A46" s="78">
        <v>3</v>
      </c>
      <c r="B46" s="86" t="s">
        <v>84</v>
      </c>
      <c r="C46" s="81"/>
      <c r="D46" s="87"/>
      <c r="E46" s="87"/>
      <c r="F46" s="87"/>
      <c r="G46" s="87"/>
      <c r="H46" s="87"/>
      <c r="I46" s="87"/>
      <c r="L46" s="89"/>
    </row>
    <row r="47" spans="1:12" s="66" customFormat="1" ht="16.5" customHeight="1" hidden="1">
      <c r="A47" s="85"/>
      <c r="B47" s="86" t="s">
        <v>85</v>
      </c>
      <c r="C47" s="87">
        <f>SUM(D47:I47)</f>
        <v>0</v>
      </c>
      <c r="D47" s="87"/>
      <c r="E47" s="87"/>
      <c r="F47" s="87"/>
      <c r="G47" s="87"/>
      <c r="H47" s="87"/>
      <c r="I47" s="87"/>
      <c r="L47" s="89"/>
    </row>
    <row r="48" spans="1:12" s="83" customFormat="1" ht="16.5" customHeight="1" hidden="1">
      <c r="A48" s="85"/>
      <c r="B48" s="79" t="s">
        <v>89</v>
      </c>
      <c r="C48" s="80">
        <f>SUM(D48:I48)</f>
        <v>0</v>
      </c>
      <c r="D48" s="81"/>
      <c r="E48" s="80">
        <f>E49+E50</f>
        <v>0</v>
      </c>
      <c r="F48" s="80">
        <f>F49+F50</f>
        <v>0</v>
      </c>
      <c r="G48" s="80">
        <f>G49+G50</f>
        <v>0</v>
      </c>
      <c r="H48" s="80">
        <f>H49+H50</f>
        <v>0</v>
      </c>
      <c r="I48" s="81"/>
      <c r="L48" s="84"/>
    </row>
    <row r="49" spans="1:12" s="66" customFormat="1" ht="16.5" customHeight="1" hidden="1">
      <c r="A49" s="78">
        <v>4</v>
      </c>
      <c r="B49" s="86" t="s">
        <v>84</v>
      </c>
      <c r="C49" s="81"/>
      <c r="D49" s="81"/>
      <c r="E49" s="81"/>
      <c r="F49" s="81"/>
      <c r="G49" s="81"/>
      <c r="H49" s="81"/>
      <c r="I49" s="81"/>
      <c r="L49" s="89"/>
    </row>
    <row r="50" spans="1:12" s="66" customFormat="1" ht="16.5" customHeight="1" hidden="1">
      <c r="A50" s="85"/>
      <c r="B50" s="92" t="s">
        <v>85</v>
      </c>
      <c r="C50" s="87">
        <f>SUM(D50:I50)</f>
        <v>0</v>
      </c>
      <c r="D50" s="81"/>
      <c r="E50" s="87"/>
      <c r="F50" s="87"/>
      <c r="G50" s="87"/>
      <c r="H50" s="87"/>
      <c r="I50" s="87"/>
      <c r="L50" s="89"/>
    </row>
    <row r="51" spans="1:12" s="76" customFormat="1" ht="16.5" customHeight="1">
      <c r="A51" s="98" t="s">
        <v>20</v>
      </c>
      <c r="B51" s="75" t="s">
        <v>94</v>
      </c>
      <c r="C51" s="74">
        <f>SUM(D51:I51)</f>
        <v>22.38</v>
      </c>
      <c r="D51" s="91"/>
      <c r="E51" s="74">
        <f>'P luc 02 dmuc bptt mtlp2016'!J60</f>
        <v>13.19</v>
      </c>
      <c r="F51" s="74"/>
      <c r="G51" s="74"/>
      <c r="H51" s="74">
        <f>H53</f>
        <v>9.19</v>
      </c>
      <c r="I51" s="74"/>
      <c r="L51" s="77"/>
    </row>
    <row r="52" spans="1:12" s="66" customFormat="1" ht="16.5" customHeight="1">
      <c r="A52" s="101"/>
      <c r="B52" s="86" t="s">
        <v>84</v>
      </c>
      <c r="C52" s="87"/>
      <c r="D52" s="87"/>
      <c r="E52" s="87"/>
      <c r="F52" s="87"/>
      <c r="G52" s="87"/>
      <c r="H52" s="87"/>
      <c r="I52" s="87"/>
      <c r="L52" s="71"/>
    </row>
    <row r="53" spans="1:12" s="66" customFormat="1" ht="16.5" customHeight="1">
      <c r="A53" s="85"/>
      <c r="B53" s="86" t="s">
        <v>85</v>
      </c>
      <c r="C53" s="87">
        <f>SUM(D53:I53)</f>
        <v>22.38</v>
      </c>
      <c r="D53" s="90"/>
      <c r="E53" s="104">
        <f>'[1]phuluc02 DT MTLPTP 2016'!J59</f>
        <v>13.19</v>
      </c>
      <c r="F53" s="90"/>
      <c r="G53" s="90"/>
      <c r="H53" s="90">
        <f>'[1]phuluc02 DT MTLPTP 2016'!R59</f>
        <v>9.19</v>
      </c>
      <c r="I53" s="90"/>
      <c r="L53" s="89"/>
    </row>
    <row r="54" spans="1:12" s="106" customFormat="1" ht="16.5" customHeight="1">
      <c r="A54" s="68" t="s">
        <v>69</v>
      </c>
      <c r="B54" s="105" t="s">
        <v>95</v>
      </c>
      <c r="C54" s="69">
        <f>C60</f>
        <v>118.42</v>
      </c>
      <c r="D54" s="69"/>
      <c r="E54" s="69">
        <f>E60</f>
        <v>58.260000000000005</v>
      </c>
      <c r="F54" s="69"/>
      <c r="G54" s="69"/>
      <c r="H54" s="69">
        <f>H60</f>
        <v>60.16</v>
      </c>
      <c r="I54" s="102"/>
      <c r="L54" s="107"/>
    </row>
    <row r="55" spans="1:12" s="76" customFormat="1" ht="33" hidden="1">
      <c r="A55" s="78" t="s">
        <v>16</v>
      </c>
      <c r="B55" s="195" t="s">
        <v>118</v>
      </c>
      <c r="C55" s="74">
        <f aca="true" t="shared" si="2" ref="C55:H55">C57</f>
        <v>107.22</v>
      </c>
      <c r="D55" s="74"/>
      <c r="E55" s="74">
        <f t="shared" si="2"/>
        <v>47.06</v>
      </c>
      <c r="F55" s="74"/>
      <c r="G55" s="74"/>
      <c r="H55" s="74">
        <f t="shared" si="2"/>
        <v>60.16</v>
      </c>
      <c r="I55" s="74"/>
      <c r="J55" s="196"/>
      <c r="L55" s="77"/>
    </row>
    <row r="56" spans="1:12" s="76" customFormat="1" ht="17.25">
      <c r="A56" s="78" t="s">
        <v>126</v>
      </c>
      <c r="B56" s="195" t="s">
        <v>83</v>
      </c>
      <c r="C56" s="74">
        <f>C54</f>
        <v>118.42</v>
      </c>
      <c r="D56" s="74"/>
      <c r="E56" s="74">
        <f>E54</f>
        <v>58.260000000000005</v>
      </c>
      <c r="F56" s="74"/>
      <c r="G56" s="74"/>
      <c r="H56" s="74">
        <f>H57</f>
        <v>60.16</v>
      </c>
      <c r="I56" s="74"/>
      <c r="J56" s="196"/>
      <c r="L56" s="77"/>
    </row>
    <row r="57" spans="1:12" s="106" customFormat="1" ht="16.5" customHeight="1" hidden="1">
      <c r="A57" s="101" t="s">
        <v>119</v>
      </c>
      <c r="B57" s="79" t="s">
        <v>83</v>
      </c>
      <c r="C57" s="80">
        <f>SUM(D57:I57)</f>
        <v>107.22</v>
      </c>
      <c r="D57" s="81"/>
      <c r="E57" s="197">
        <f>E59</f>
        <v>47.06</v>
      </c>
      <c r="F57" s="197"/>
      <c r="G57" s="82"/>
      <c r="H57" s="197">
        <f>H59</f>
        <v>60.16</v>
      </c>
      <c r="I57" s="80"/>
      <c r="L57" s="107"/>
    </row>
    <row r="58" spans="1:12" s="66" customFormat="1" ht="16.5" customHeight="1" hidden="1">
      <c r="A58" s="68"/>
      <c r="B58" s="86" t="s">
        <v>84</v>
      </c>
      <c r="C58" s="87"/>
      <c r="D58" s="87"/>
      <c r="E58" s="87"/>
      <c r="F58" s="87"/>
      <c r="G58" s="87"/>
      <c r="H58" s="87"/>
      <c r="I58" s="87"/>
      <c r="L58" s="89"/>
    </row>
    <row r="59" spans="1:12" s="66" customFormat="1" ht="16.5" customHeight="1" hidden="1">
      <c r="A59" s="85"/>
      <c r="B59" s="86" t="s">
        <v>85</v>
      </c>
      <c r="C59" s="87">
        <v>107.22</v>
      </c>
      <c r="D59" s="87"/>
      <c r="E59" s="87">
        <v>47.06</v>
      </c>
      <c r="F59" s="87"/>
      <c r="G59" s="87"/>
      <c r="H59" s="87">
        <v>60.16</v>
      </c>
      <c r="I59" s="87"/>
      <c r="L59" s="89"/>
    </row>
    <row r="60" spans="1:12" s="66" customFormat="1" ht="16.5" customHeight="1" hidden="1">
      <c r="A60" s="85" t="s">
        <v>18</v>
      </c>
      <c r="B60" s="93" t="s">
        <v>90</v>
      </c>
      <c r="C60" s="94">
        <f>C55+C63</f>
        <v>118.42</v>
      </c>
      <c r="D60" s="94"/>
      <c r="E60" s="94">
        <f>E55+E63</f>
        <v>58.260000000000005</v>
      </c>
      <c r="F60" s="94"/>
      <c r="G60" s="94"/>
      <c r="H60" s="94">
        <f>H55+H63</f>
        <v>60.16</v>
      </c>
      <c r="I60" s="94"/>
      <c r="L60" s="89"/>
    </row>
    <row r="61" spans="1:12" s="66" customFormat="1" ht="16.5" customHeight="1">
      <c r="A61" s="85"/>
      <c r="B61" s="86" t="s">
        <v>84</v>
      </c>
      <c r="C61" s="94"/>
      <c r="D61" s="108"/>
      <c r="E61" s="108"/>
      <c r="F61" s="108"/>
      <c r="G61" s="108"/>
      <c r="H61" s="108"/>
      <c r="I61" s="90"/>
      <c r="L61" s="89"/>
    </row>
    <row r="62" spans="1:12" s="66" customFormat="1" ht="16.5" customHeight="1">
      <c r="A62" s="85"/>
      <c r="B62" s="250" t="s">
        <v>85</v>
      </c>
      <c r="C62" s="94">
        <f>C60</f>
        <v>118.42</v>
      </c>
      <c r="D62" s="108"/>
      <c r="E62" s="251">
        <f>E60</f>
        <v>58.260000000000005</v>
      </c>
      <c r="F62" s="108"/>
      <c r="G62" s="108"/>
      <c r="H62" s="251">
        <f>H60</f>
        <v>60.16</v>
      </c>
      <c r="I62" s="90"/>
      <c r="L62" s="89"/>
    </row>
    <row r="63" spans="1:12" s="76" customFormat="1" ht="16.5" customHeight="1" hidden="1">
      <c r="A63" s="85"/>
      <c r="B63" s="86" t="s">
        <v>114</v>
      </c>
      <c r="C63" s="90">
        <f>SUM(D63:I63)</f>
        <v>11.2</v>
      </c>
      <c r="D63" s="95"/>
      <c r="E63" s="90">
        <f>'P luc 02 dmuc bptt mtlp2016'!D129</f>
        <v>11.2</v>
      </c>
      <c r="F63" s="95"/>
      <c r="G63" s="95"/>
      <c r="H63" s="90"/>
      <c r="I63" s="95"/>
      <c r="K63" s="175" t="e">
        <f>#REF!+#REF!+#REF!</f>
        <v>#REF!</v>
      </c>
      <c r="L63" s="77"/>
    </row>
    <row r="64" spans="1:12" s="76" customFormat="1" ht="16.5" customHeight="1">
      <c r="A64" s="176"/>
      <c r="B64" s="174"/>
      <c r="C64" s="178"/>
      <c r="D64" s="177"/>
      <c r="E64" s="178"/>
      <c r="F64" s="177"/>
      <c r="G64" s="177"/>
      <c r="H64" s="178"/>
      <c r="I64" s="177"/>
      <c r="K64" s="175"/>
      <c r="L64" s="77"/>
    </row>
  </sheetData>
  <sheetProtection/>
  <mergeCells count="9">
    <mergeCell ref="A1:I1"/>
    <mergeCell ref="A2:I2"/>
    <mergeCell ref="A3:I3"/>
    <mergeCell ref="A4:J4"/>
    <mergeCell ref="G5:I5"/>
    <mergeCell ref="A5:A6"/>
    <mergeCell ref="B5:B6"/>
    <mergeCell ref="C5:C6"/>
    <mergeCell ref="D5:F5"/>
  </mergeCells>
  <printOptions/>
  <pageMargins left="0.65" right="0.2" top="0.5" bottom="0.59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L132"/>
  <sheetViews>
    <sheetView showGridLines="0" tabSelected="1" zoomScalePageLayoutView="0" workbookViewId="0" topLeftCell="A21">
      <selection activeCell="A133" sqref="A133:IV165"/>
    </sheetView>
  </sheetViews>
  <sheetFormatPr defaultColWidth="8.796875" defaultRowHeight="15"/>
  <cols>
    <col min="1" max="1" width="4" style="0" customWidth="1"/>
    <col min="2" max="2" width="18.3984375" style="0" customWidth="1"/>
    <col min="3" max="3" width="8.5" style="0" customWidth="1"/>
    <col min="4" max="4" width="8.3984375" style="0" bestFit="1" customWidth="1"/>
    <col min="5" max="5" width="4.5" style="0" customWidth="1"/>
    <col min="6" max="6" width="8.69921875" style="0" customWidth="1"/>
    <col min="7" max="7" width="3.8984375" style="0" customWidth="1"/>
    <col min="8" max="8" width="4.5" style="0" customWidth="1"/>
    <col min="9" max="9" width="4.69921875" style="0" customWidth="1"/>
    <col min="10" max="10" width="6.69921875" style="0" bestFit="1" customWidth="1"/>
    <col min="11" max="11" width="5.09765625" style="0" customWidth="1"/>
    <col min="12" max="12" width="8" style="0" bestFit="1" customWidth="1"/>
    <col min="13" max="13" width="4.3984375" style="0" customWidth="1"/>
    <col min="14" max="14" width="7.69921875" style="0" customWidth="1"/>
    <col min="15" max="15" width="4.5" style="0" customWidth="1"/>
    <col min="16" max="16" width="6.8984375" style="0" customWidth="1"/>
    <col min="17" max="17" width="4.59765625" style="0" customWidth="1"/>
    <col min="18" max="18" width="6.19921875" style="0" customWidth="1"/>
    <col min="19" max="19" width="4.19921875" style="0" customWidth="1"/>
    <col min="20" max="20" width="4.69921875" style="0" customWidth="1"/>
    <col min="21" max="21" width="5.5" style="0" hidden="1" customWidth="1"/>
    <col min="22" max="22" width="6.69921875" style="143" hidden="1" customWidth="1"/>
    <col min="23" max="23" width="7" style="121" hidden="1" customWidth="1"/>
    <col min="24" max="24" width="5.8984375" style="133" hidden="1" customWidth="1"/>
    <col min="25" max="25" width="6.69921875" style="0" hidden="1" customWidth="1"/>
    <col min="26" max="26" width="6.8984375" style="152" hidden="1" customWidth="1"/>
    <col min="27" max="27" width="6.3984375" style="167" hidden="1" customWidth="1"/>
    <col min="28" max="36" width="0" style="0" hidden="1" customWidth="1"/>
  </cols>
  <sheetData>
    <row r="1" spans="22:27" s="1" customFormat="1" ht="15">
      <c r="V1" s="143"/>
      <c r="W1" s="120"/>
      <c r="X1" s="133"/>
      <c r="Z1" s="152"/>
      <c r="AA1" s="159"/>
    </row>
    <row r="2" spans="1:27" s="2" customFormat="1" ht="16.5">
      <c r="A2" s="281" t="s">
        <v>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V2" s="143"/>
      <c r="W2" s="121"/>
      <c r="X2" s="134"/>
      <c r="Z2" s="152"/>
      <c r="AA2" s="160"/>
    </row>
    <row r="3" spans="1:27" s="2" customFormat="1" ht="16.5">
      <c r="A3" s="281" t="s">
        <v>124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V3" s="143"/>
      <c r="W3" s="121"/>
      <c r="X3" s="134"/>
      <c r="Z3" s="152"/>
      <c r="AA3" s="160"/>
    </row>
    <row r="4" spans="1:27" s="2" customFormat="1" ht="27" customHeight="1" hidden="1">
      <c r="A4" s="282" t="s">
        <v>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V4" s="143"/>
      <c r="W4" s="121"/>
      <c r="X4" s="134"/>
      <c r="Z4" s="152"/>
      <c r="AA4" s="160"/>
    </row>
    <row r="5" spans="1:27" s="3" customFormat="1" ht="19.5" customHeight="1">
      <c r="A5" s="294" t="str">
        <f>'P lục 01TH DTmtlp 2016'!A4:J4</f>
        <v> (Kèm theo Quyết định số 1123/QĐ-UBND ngày 15/4/2016 của UBND tỉnh Quảng Bình)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V5" s="144"/>
      <c r="W5" s="122"/>
      <c r="X5" s="135"/>
      <c r="Z5" s="153"/>
      <c r="AA5" s="161"/>
    </row>
    <row r="6" spans="1:27" s="5" customFormat="1" ht="21.75" customHeight="1">
      <c r="A6" s="295" t="s">
        <v>0</v>
      </c>
      <c r="B6" s="298" t="s">
        <v>3</v>
      </c>
      <c r="C6" s="298" t="s">
        <v>4</v>
      </c>
      <c r="D6" s="291" t="s">
        <v>127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3"/>
      <c r="T6" s="4"/>
      <c r="U6" s="4"/>
      <c r="V6" s="145"/>
      <c r="W6" s="123"/>
      <c r="X6" s="136"/>
      <c r="Z6" s="154"/>
      <c r="AA6" s="162"/>
    </row>
    <row r="7" spans="1:27" s="5" customFormat="1" ht="21.75" customHeight="1">
      <c r="A7" s="296"/>
      <c r="B7" s="299"/>
      <c r="C7" s="299"/>
      <c r="D7" s="291" t="s">
        <v>5</v>
      </c>
      <c r="E7" s="292"/>
      <c r="F7" s="292"/>
      <c r="G7" s="292"/>
      <c r="H7" s="292"/>
      <c r="I7" s="292"/>
      <c r="J7" s="292"/>
      <c r="K7" s="292"/>
      <c r="L7" s="291" t="s">
        <v>128</v>
      </c>
      <c r="M7" s="292"/>
      <c r="N7" s="292"/>
      <c r="O7" s="292"/>
      <c r="P7" s="292"/>
      <c r="Q7" s="292"/>
      <c r="R7" s="292"/>
      <c r="S7" s="293"/>
      <c r="V7" s="146"/>
      <c r="W7" s="124"/>
      <c r="X7" s="136"/>
      <c r="Z7" s="154"/>
      <c r="AA7" s="162"/>
    </row>
    <row r="8" spans="1:27" s="5" customFormat="1" ht="21.75" customHeight="1">
      <c r="A8" s="296"/>
      <c r="B8" s="299"/>
      <c r="C8" s="299"/>
      <c r="D8" s="291" t="s">
        <v>6</v>
      </c>
      <c r="E8" s="292"/>
      <c r="F8" s="292"/>
      <c r="G8" s="292"/>
      <c r="H8" s="292"/>
      <c r="I8" s="292"/>
      <c r="J8" s="303" t="s">
        <v>131</v>
      </c>
      <c r="K8" s="304"/>
      <c r="L8" s="291" t="s">
        <v>99</v>
      </c>
      <c r="M8" s="292"/>
      <c r="N8" s="292"/>
      <c r="O8" s="292"/>
      <c r="P8" s="292"/>
      <c r="Q8" s="292"/>
      <c r="R8" s="303" t="s">
        <v>129</v>
      </c>
      <c r="S8" s="307"/>
      <c r="V8" s="146"/>
      <c r="W8" s="124"/>
      <c r="X8" s="136">
        <f>198-23.3-157</f>
        <v>17.69999999999999</v>
      </c>
      <c r="Z8" s="154"/>
      <c r="AA8" s="162"/>
    </row>
    <row r="9" spans="1:27" s="6" customFormat="1" ht="33" customHeight="1">
      <c r="A9" s="296"/>
      <c r="B9" s="299"/>
      <c r="C9" s="299"/>
      <c r="D9" s="309" t="s">
        <v>7</v>
      </c>
      <c r="E9" s="310"/>
      <c r="F9" s="309" t="s">
        <v>8</v>
      </c>
      <c r="G9" s="310"/>
      <c r="H9" s="309" t="s">
        <v>132</v>
      </c>
      <c r="I9" s="310"/>
      <c r="J9" s="305"/>
      <c r="K9" s="306"/>
      <c r="L9" s="309" t="s">
        <v>7</v>
      </c>
      <c r="M9" s="310"/>
      <c r="N9" s="309" t="s">
        <v>8</v>
      </c>
      <c r="O9" s="310"/>
      <c r="P9" s="309" t="s">
        <v>130</v>
      </c>
      <c r="Q9" s="310"/>
      <c r="R9" s="305"/>
      <c r="S9" s="308"/>
      <c r="V9" s="147"/>
      <c r="W9" s="125"/>
      <c r="X9" s="137"/>
      <c r="Z9" s="155"/>
      <c r="AA9" s="163"/>
    </row>
    <row r="10" spans="1:27" s="5" customFormat="1" ht="7.5" customHeight="1">
      <c r="A10" s="296"/>
      <c r="B10" s="299"/>
      <c r="C10" s="299"/>
      <c r="D10" s="301" t="s">
        <v>9</v>
      </c>
      <c r="E10" s="301" t="s">
        <v>10</v>
      </c>
      <c r="F10" s="301" t="s">
        <v>9</v>
      </c>
      <c r="G10" s="301" t="s">
        <v>10</v>
      </c>
      <c r="H10" s="301" t="s">
        <v>9</v>
      </c>
      <c r="I10" s="301" t="s">
        <v>10</v>
      </c>
      <c r="J10" s="301" t="s">
        <v>9</v>
      </c>
      <c r="K10" s="301" t="s">
        <v>10</v>
      </c>
      <c r="L10" s="301" t="s">
        <v>9</v>
      </c>
      <c r="M10" s="301" t="s">
        <v>10</v>
      </c>
      <c r="N10" s="301" t="s">
        <v>9</v>
      </c>
      <c r="O10" s="301" t="s">
        <v>10</v>
      </c>
      <c r="P10" s="301" t="s">
        <v>9</v>
      </c>
      <c r="Q10" s="301" t="s">
        <v>10</v>
      </c>
      <c r="R10" s="301" t="s">
        <v>9</v>
      </c>
      <c r="S10" s="301" t="s">
        <v>10</v>
      </c>
      <c r="U10" s="301" t="s">
        <v>106</v>
      </c>
      <c r="V10" s="323" t="s">
        <v>105</v>
      </c>
      <c r="W10" s="319" t="s">
        <v>108</v>
      </c>
      <c r="X10" s="321" t="s">
        <v>101</v>
      </c>
      <c r="Y10" s="301" t="s">
        <v>102</v>
      </c>
      <c r="Z10" s="317" t="s">
        <v>103</v>
      </c>
      <c r="AA10" s="315" t="s">
        <v>104</v>
      </c>
    </row>
    <row r="11" spans="1:29" s="5" customFormat="1" ht="27.75" customHeight="1">
      <c r="A11" s="297"/>
      <c r="B11" s="300"/>
      <c r="C11" s="300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U11" s="302" t="s">
        <v>100</v>
      </c>
      <c r="V11" s="324" t="s">
        <v>105</v>
      </c>
      <c r="W11" s="320"/>
      <c r="X11" s="322"/>
      <c r="Y11" s="302"/>
      <c r="Z11" s="318"/>
      <c r="AA11" s="316"/>
      <c r="AB11" s="168"/>
      <c r="AC11" s="172"/>
    </row>
    <row r="12" spans="1:29" s="257" customFormat="1" ht="15.75">
      <c r="A12" s="252" t="s">
        <v>11</v>
      </c>
      <c r="B12" s="253" t="s">
        <v>12</v>
      </c>
      <c r="C12" s="254">
        <f>SUM(D12:S12)</f>
        <v>853.31</v>
      </c>
      <c r="D12" s="255">
        <f>D13+D18+D23+D34+D29+D38+D42+D52+D56</f>
        <v>248.54</v>
      </c>
      <c r="E12" s="256"/>
      <c r="F12" s="255">
        <f>F13+F18+F23+F34+F29+F38+F42+F52+F56</f>
        <v>150</v>
      </c>
      <c r="G12" s="256"/>
      <c r="H12" s="256"/>
      <c r="I12" s="256"/>
      <c r="J12" s="255">
        <f>J13+J18+J23+J34+J29+J38+J42+J52+J56</f>
        <v>13.19</v>
      </c>
      <c r="K12" s="256"/>
      <c r="L12" s="255">
        <f>L13+L18+L23+L34+L29+L38+L42+L52+L56</f>
        <v>243.82999999999998</v>
      </c>
      <c r="M12" s="256"/>
      <c r="N12" s="255">
        <f>N13+N18+N23+N34+N29+N38+N42+N52+N56</f>
        <v>149.92999999999998</v>
      </c>
      <c r="O12" s="256"/>
      <c r="P12" s="255">
        <f>P13+P18+P23+P34+P29+P38+P42+P52+P56</f>
        <v>38.629999999999995</v>
      </c>
      <c r="Q12" s="256"/>
      <c r="R12" s="255">
        <f>R13+R18+R23+R34+R29+R38+R42+R52+R56</f>
        <v>9.19</v>
      </c>
      <c r="S12" s="256"/>
      <c r="U12" s="258"/>
      <c r="V12" s="259"/>
      <c r="W12" s="260"/>
      <c r="X12" s="261"/>
      <c r="Y12" s="258"/>
      <c r="Z12" s="262"/>
      <c r="AA12" s="263"/>
      <c r="AB12" s="264">
        <f>C12-888.34</f>
        <v>-35.030000000000086</v>
      </c>
      <c r="AC12" s="265">
        <f>AB12-AB13</f>
        <v>-38.63000000000009</v>
      </c>
    </row>
    <row r="13" spans="1:37" s="13" customFormat="1" ht="14.25">
      <c r="A13" s="7" t="s">
        <v>13</v>
      </c>
      <c r="B13" s="8" t="s">
        <v>14</v>
      </c>
      <c r="C13" s="9">
        <f aca="true" t="shared" si="0" ref="C13:C26">SUM(D13:S13)</f>
        <v>76.46</v>
      </c>
      <c r="D13" s="10"/>
      <c r="E13" s="10"/>
      <c r="F13" s="10">
        <f>F14</f>
        <v>30</v>
      </c>
      <c r="G13" s="10"/>
      <c r="H13" s="10"/>
      <c r="I13" s="10"/>
      <c r="J13" s="10"/>
      <c r="K13" s="10"/>
      <c r="L13" s="63">
        <f>L14</f>
        <v>43</v>
      </c>
      <c r="M13" s="10"/>
      <c r="N13" s="10"/>
      <c r="O13" s="10"/>
      <c r="P13" s="10"/>
      <c r="Q13" s="10"/>
      <c r="R13" s="10">
        <f>R14</f>
        <v>3.46</v>
      </c>
      <c r="S13" s="10"/>
      <c r="T13" s="11"/>
      <c r="U13" s="119">
        <v>23.3</v>
      </c>
      <c r="V13" s="148">
        <v>19.7</v>
      </c>
      <c r="W13" s="126"/>
      <c r="X13" s="130">
        <v>157</v>
      </c>
      <c r="Y13" s="119">
        <f>U13+V13+X13</f>
        <v>200</v>
      </c>
      <c r="Z13" s="156">
        <f>200</f>
        <v>200</v>
      </c>
      <c r="AA13" s="164"/>
      <c r="AB13" s="173">
        <f>V59-W59</f>
        <v>3.6000000000000014</v>
      </c>
      <c r="AC13" s="171"/>
      <c r="AD13" s="12"/>
      <c r="AE13" s="12"/>
      <c r="AF13" s="12"/>
      <c r="AG13" s="12"/>
      <c r="AH13" s="12"/>
      <c r="AI13" s="12"/>
      <c r="AJ13" s="12"/>
      <c r="AK13" s="12"/>
    </row>
    <row r="14" spans="1:37" s="19" customFormat="1" ht="15">
      <c r="A14" s="14">
        <v>1</v>
      </c>
      <c r="B14" s="15" t="s">
        <v>15</v>
      </c>
      <c r="C14" s="16">
        <f t="shared" si="0"/>
        <v>76.46</v>
      </c>
      <c r="D14" s="17"/>
      <c r="E14" s="17"/>
      <c r="F14" s="17">
        <f>F15+F16</f>
        <v>30</v>
      </c>
      <c r="G14" s="17"/>
      <c r="H14" s="17"/>
      <c r="I14" s="17"/>
      <c r="J14" s="17"/>
      <c r="K14" s="17"/>
      <c r="L14" s="61">
        <f>L15+L16+L17</f>
        <v>43</v>
      </c>
      <c r="M14" s="17"/>
      <c r="N14" s="17"/>
      <c r="O14" s="17"/>
      <c r="P14" s="17"/>
      <c r="Q14" s="17"/>
      <c r="R14" s="17">
        <f>R15+R16</f>
        <v>3.46</v>
      </c>
      <c r="S14" s="17"/>
      <c r="T14" s="109"/>
      <c r="U14" s="119"/>
      <c r="V14" s="148"/>
      <c r="W14" s="126"/>
      <c r="X14" s="138"/>
      <c r="Y14" s="114"/>
      <c r="Z14" s="157"/>
      <c r="AA14" s="165"/>
      <c r="AB14" s="169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23" customFormat="1" ht="15">
      <c r="A15" s="20" t="s">
        <v>16</v>
      </c>
      <c r="B15" s="21" t="s">
        <v>17</v>
      </c>
      <c r="C15" s="16">
        <f t="shared" si="0"/>
        <v>26.76</v>
      </c>
      <c r="D15" s="16"/>
      <c r="E15" s="16"/>
      <c r="F15" s="16"/>
      <c r="G15" s="16"/>
      <c r="H15" s="16"/>
      <c r="I15" s="16"/>
      <c r="J15" s="16"/>
      <c r="K15" s="16"/>
      <c r="L15" s="16">
        <v>23.3</v>
      </c>
      <c r="M15" s="16"/>
      <c r="N15" s="16"/>
      <c r="O15" s="16"/>
      <c r="P15" s="16"/>
      <c r="Q15" s="16"/>
      <c r="R15" s="16">
        <v>3.46</v>
      </c>
      <c r="S15" s="16"/>
      <c r="T15" s="110"/>
      <c r="U15" s="115"/>
      <c r="V15" s="149"/>
      <c r="W15" s="127"/>
      <c r="X15" s="139"/>
      <c r="Y15" s="115"/>
      <c r="Z15" s="158"/>
      <c r="AA15" s="166"/>
      <c r="AB15" s="170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s="24" customFormat="1" ht="15">
      <c r="A16" s="20" t="s">
        <v>18</v>
      </c>
      <c r="B16" s="21" t="s">
        <v>19</v>
      </c>
      <c r="C16" s="16">
        <f>SUM(D16:S16)</f>
        <v>30</v>
      </c>
      <c r="D16" s="16"/>
      <c r="E16" s="16"/>
      <c r="F16" s="16">
        <v>30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10"/>
      <c r="U16" s="115"/>
      <c r="V16" s="149"/>
      <c r="W16" s="127"/>
      <c r="X16" s="139"/>
      <c r="Y16" s="115"/>
      <c r="Z16" s="158"/>
      <c r="AA16" s="166"/>
      <c r="AB16" s="22"/>
      <c r="AC16" s="170"/>
      <c r="AD16" s="22"/>
      <c r="AE16" s="22"/>
      <c r="AF16" s="22"/>
      <c r="AG16" s="22"/>
      <c r="AH16" s="22"/>
      <c r="AI16" s="22"/>
      <c r="AJ16" s="22"/>
      <c r="AK16" s="22"/>
    </row>
    <row r="17" spans="1:27" s="40" customFormat="1" ht="15">
      <c r="A17" s="41" t="s">
        <v>24</v>
      </c>
      <c r="B17" s="42" t="s">
        <v>52</v>
      </c>
      <c r="C17" s="30">
        <f t="shared" si="0"/>
        <v>19.7</v>
      </c>
      <c r="D17" s="30"/>
      <c r="E17" s="30"/>
      <c r="F17" s="30"/>
      <c r="G17" s="30"/>
      <c r="H17" s="30"/>
      <c r="I17" s="30"/>
      <c r="J17" s="30"/>
      <c r="K17" s="30"/>
      <c r="L17" s="131">
        <v>19.7</v>
      </c>
      <c r="M17" s="30"/>
      <c r="N17" s="30"/>
      <c r="O17" s="30"/>
      <c r="P17" s="30"/>
      <c r="Q17" s="30"/>
      <c r="R17" s="30"/>
      <c r="S17" s="30"/>
      <c r="T17" s="198"/>
      <c r="U17" s="118"/>
      <c r="V17" s="199"/>
      <c r="W17" s="118"/>
      <c r="X17" s="142"/>
      <c r="Y17" s="118"/>
      <c r="Z17" s="199"/>
      <c r="AA17" s="200"/>
    </row>
    <row r="18" spans="1:37" s="13" customFormat="1" ht="14.25">
      <c r="A18" s="25" t="s">
        <v>20</v>
      </c>
      <c r="B18" s="26" t="s">
        <v>21</v>
      </c>
      <c r="C18" s="9">
        <f t="shared" si="0"/>
        <v>168.9</v>
      </c>
      <c r="D18" s="9">
        <f>D19</f>
        <v>17.35</v>
      </c>
      <c r="E18" s="9"/>
      <c r="F18" s="9">
        <f>F19</f>
        <v>0</v>
      </c>
      <c r="G18" s="9"/>
      <c r="H18" s="9"/>
      <c r="I18" s="9"/>
      <c r="J18" s="9"/>
      <c r="K18" s="9"/>
      <c r="L18" s="62">
        <f>L19</f>
        <v>122.65</v>
      </c>
      <c r="M18" s="9"/>
      <c r="N18" s="62">
        <f>N19</f>
        <v>25</v>
      </c>
      <c r="O18" s="9"/>
      <c r="P18" s="9">
        <f>P19</f>
        <v>0</v>
      </c>
      <c r="Q18" s="9"/>
      <c r="R18" s="62">
        <f>R19</f>
        <v>3.9</v>
      </c>
      <c r="S18" s="9"/>
      <c r="T18" s="111"/>
      <c r="U18" s="113">
        <f>122.65+12.35</f>
        <v>135</v>
      </c>
      <c r="V18" s="148">
        <v>5</v>
      </c>
      <c r="W18" s="128"/>
      <c r="X18" s="130">
        <f>0</f>
        <v>0</v>
      </c>
      <c r="Y18" s="113">
        <f>U18+V18</f>
        <v>140</v>
      </c>
      <c r="Z18" s="156">
        <v>150</v>
      </c>
      <c r="AA18" s="164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9" customFormat="1" ht="15">
      <c r="A19" s="14">
        <v>1</v>
      </c>
      <c r="B19" s="15" t="s">
        <v>22</v>
      </c>
      <c r="C19" s="16">
        <f t="shared" si="0"/>
        <v>168.9</v>
      </c>
      <c r="D19" s="17">
        <f>D21</f>
        <v>17.35</v>
      </c>
      <c r="E19" s="17"/>
      <c r="F19" s="17">
        <f>F22</f>
        <v>0</v>
      </c>
      <c r="G19" s="17"/>
      <c r="H19" s="17"/>
      <c r="I19" s="17"/>
      <c r="J19" s="17"/>
      <c r="K19" s="17"/>
      <c r="L19" s="17">
        <f>L20+L21</f>
        <v>122.65</v>
      </c>
      <c r="M19" s="17"/>
      <c r="N19" s="61">
        <f>N22</f>
        <v>25</v>
      </c>
      <c r="O19" s="17"/>
      <c r="P19" s="17">
        <f>P20</f>
        <v>0</v>
      </c>
      <c r="Q19" s="17"/>
      <c r="R19" s="17">
        <v>3.9</v>
      </c>
      <c r="S19" s="17"/>
      <c r="T19" s="109"/>
      <c r="U19" s="114"/>
      <c r="V19" s="150"/>
      <c r="W19" s="129"/>
      <c r="X19" s="138"/>
      <c r="Y19" s="114"/>
      <c r="Z19" s="157"/>
      <c r="AA19" s="165"/>
      <c r="AB19" s="313" t="s">
        <v>110</v>
      </c>
      <c r="AC19" s="314"/>
      <c r="AD19" s="314"/>
      <c r="AE19" s="18"/>
      <c r="AF19" s="18"/>
      <c r="AG19" s="18"/>
      <c r="AH19" s="18"/>
      <c r="AI19" s="18"/>
      <c r="AJ19" s="18"/>
      <c r="AK19" s="18"/>
    </row>
    <row r="20" spans="1:37" s="23" customFormat="1" ht="15">
      <c r="A20" s="20" t="s">
        <v>16</v>
      </c>
      <c r="B20" s="34" t="s">
        <v>97</v>
      </c>
      <c r="C20" s="16">
        <f t="shared" si="0"/>
        <v>122.65</v>
      </c>
      <c r="D20" s="16"/>
      <c r="E20" s="16"/>
      <c r="F20" s="16"/>
      <c r="G20" s="16"/>
      <c r="H20" s="16"/>
      <c r="I20" s="16"/>
      <c r="J20" s="16"/>
      <c r="K20" s="16"/>
      <c r="L20" s="16">
        <v>122.65</v>
      </c>
      <c r="M20" s="16"/>
      <c r="N20" s="16"/>
      <c r="O20" s="16"/>
      <c r="P20" s="58"/>
      <c r="Q20" s="16"/>
      <c r="R20" s="27"/>
      <c r="S20" s="16"/>
      <c r="T20" s="112"/>
      <c r="U20" s="115"/>
      <c r="V20" s="149"/>
      <c r="W20" s="127"/>
      <c r="X20" s="139"/>
      <c r="Y20" s="115"/>
      <c r="Z20" s="158"/>
      <c r="AA20" s="166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27" s="40" customFormat="1" ht="15">
      <c r="A21" s="41" t="s">
        <v>18</v>
      </c>
      <c r="B21" s="42" t="s">
        <v>23</v>
      </c>
      <c r="C21" s="30">
        <f t="shared" si="0"/>
        <v>21.25</v>
      </c>
      <c r="D21" s="30">
        <f>12.35+5</f>
        <v>17.35</v>
      </c>
      <c r="E21" s="30"/>
      <c r="F21" s="20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v>3.9</v>
      </c>
      <c r="S21" s="30"/>
      <c r="T21" s="198"/>
      <c r="U21" s="118"/>
      <c r="V21" s="199"/>
      <c r="W21" s="118"/>
      <c r="X21" s="142"/>
      <c r="Y21" s="118"/>
      <c r="Z21" s="199"/>
      <c r="AA21" s="200"/>
    </row>
    <row r="22" spans="1:27" s="40" customFormat="1" ht="15">
      <c r="A22" s="41" t="s">
        <v>24</v>
      </c>
      <c r="B22" s="202" t="s">
        <v>96</v>
      </c>
      <c r="C22" s="203">
        <f t="shared" si="0"/>
        <v>25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03">
        <v>25</v>
      </c>
      <c r="O22" s="30"/>
      <c r="P22" s="30"/>
      <c r="Q22" s="30"/>
      <c r="R22" s="30"/>
      <c r="S22" s="30"/>
      <c r="T22" s="198"/>
      <c r="U22" s="118"/>
      <c r="V22" s="199">
        <v>25</v>
      </c>
      <c r="W22" s="118"/>
      <c r="X22" s="142"/>
      <c r="Y22" s="118"/>
      <c r="Z22" s="199"/>
      <c r="AA22" s="200"/>
    </row>
    <row r="23" spans="1:27" s="45" customFormat="1" ht="14.25">
      <c r="A23" s="43" t="s">
        <v>25</v>
      </c>
      <c r="B23" s="44" t="s">
        <v>26</v>
      </c>
      <c r="C23" s="37">
        <f t="shared" si="0"/>
        <v>98.46000000000001</v>
      </c>
      <c r="D23" s="37">
        <f>D24+D27</f>
        <v>61.19</v>
      </c>
      <c r="E23" s="37"/>
      <c r="F23" s="37"/>
      <c r="G23" s="37"/>
      <c r="H23" s="37"/>
      <c r="I23" s="37"/>
      <c r="J23" s="37">
        <f>J24+J27</f>
        <v>1.99</v>
      </c>
      <c r="K23" s="37"/>
      <c r="L23" s="37">
        <f>L24</f>
        <v>33.81</v>
      </c>
      <c r="M23" s="37"/>
      <c r="N23" s="37"/>
      <c r="O23" s="37"/>
      <c r="P23" s="37"/>
      <c r="Q23" s="37"/>
      <c r="R23" s="37">
        <f>R24+R27</f>
        <v>1.47</v>
      </c>
      <c r="S23" s="37"/>
      <c r="T23" s="204"/>
      <c r="U23" s="116"/>
      <c r="V23" s="205"/>
      <c r="W23" s="205"/>
      <c r="X23" s="140"/>
      <c r="Y23" s="205"/>
      <c r="Z23" s="205"/>
      <c r="AA23" s="206"/>
    </row>
    <row r="24" spans="1:30" s="19" customFormat="1" ht="15">
      <c r="A24" s="28">
        <v>1</v>
      </c>
      <c r="B24" s="29" t="s">
        <v>27</v>
      </c>
      <c r="C24" s="30">
        <f t="shared" si="0"/>
        <v>91.46000000000001</v>
      </c>
      <c r="D24" s="31">
        <f>D25+D26</f>
        <v>54.19</v>
      </c>
      <c r="E24" s="31"/>
      <c r="F24" s="31"/>
      <c r="G24" s="31"/>
      <c r="H24" s="31"/>
      <c r="I24" s="31"/>
      <c r="J24" s="31">
        <f>J25+J26</f>
        <v>1.99</v>
      </c>
      <c r="K24" s="31"/>
      <c r="L24" s="31">
        <f>L25+L26</f>
        <v>33.81</v>
      </c>
      <c r="M24" s="31"/>
      <c r="N24" s="31"/>
      <c r="O24" s="31"/>
      <c r="P24" s="31"/>
      <c r="Q24" s="31"/>
      <c r="R24" s="31">
        <v>1.47</v>
      </c>
      <c r="S24" s="31"/>
      <c r="U24" s="116">
        <v>89.2</v>
      </c>
      <c r="V24" s="205"/>
      <c r="W24" s="205">
        <v>1.2</v>
      </c>
      <c r="X24" s="140">
        <f>0</f>
        <v>0</v>
      </c>
      <c r="Y24" s="205">
        <f>U24-W24</f>
        <v>88</v>
      </c>
      <c r="Z24" s="205">
        <v>78</v>
      </c>
      <c r="AA24" s="206"/>
      <c r="AB24" s="311" t="s">
        <v>109</v>
      </c>
      <c r="AC24" s="312"/>
      <c r="AD24" s="312"/>
    </row>
    <row r="25" spans="1:27" s="40" customFormat="1" ht="15">
      <c r="A25" s="41" t="s">
        <v>16</v>
      </c>
      <c r="B25" s="42" t="s">
        <v>28</v>
      </c>
      <c r="C25" s="30">
        <f t="shared" si="0"/>
        <v>35.28</v>
      </c>
      <c r="D25" s="30"/>
      <c r="E25" s="30"/>
      <c r="F25" s="30"/>
      <c r="G25" s="30"/>
      <c r="H25" s="30"/>
      <c r="I25" s="30"/>
      <c r="J25" s="30"/>
      <c r="K25" s="30"/>
      <c r="L25" s="55">
        <v>33.81</v>
      </c>
      <c r="M25" s="30"/>
      <c r="N25" s="30"/>
      <c r="O25" s="30"/>
      <c r="P25" s="30"/>
      <c r="Q25" s="30"/>
      <c r="R25" s="30">
        <v>1.47</v>
      </c>
      <c r="S25" s="30"/>
      <c r="U25" s="118"/>
      <c r="V25" s="199"/>
      <c r="W25" s="118"/>
      <c r="X25" s="142"/>
      <c r="Y25" s="118"/>
      <c r="Z25" s="199"/>
      <c r="AA25" s="200"/>
    </row>
    <row r="26" spans="1:27" s="40" customFormat="1" ht="15">
      <c r="A26" s="41" t="s">
        <v>18</v>
      </c>
      <c r="B26" s="42" t="s">
        <v>29</v>
      </c>
      <c r="C26" s="30">
        <f t="shared" si="0"/>
        <v>56.18</v>
      </c>
      <c r="D26" s="30">
        <f>55.39-1.2</f>
        <v>54.19</v>
      </c>
      <c r="E26" s="30"/>
      <c r="F26" s="30"/>
      <c r="G26" s="30"/>
      <c r="H26" s="30"/>
      <c r="I26" s="30"/>
      <c r="J26" s="30">
        <f>3.46-R25</f>
        <v>1.99</v>
      </c>
      <c r="K26" s="30"/>
      <c r="L26" s="30"/>
      <c r="M26" s="30"/>
      <c r="N26" s="30"/>
      <c r="O26" s="30"/>
      <c r="P26" s="30"/>
      <c r="Q26" s="30"/>
      <c r="R26" s="30"/>
      <c r="S26" s="30"/>
      <c r="U26" s="118"/>
      <c r="V26" s="199"/>
      <c r="W26" s="118"/>
      <c r="X26" s="142"/>
      <c r="Y26" s="118"/>
      <c r="Z26" s="199"/>
      <c r="AA26" s="200"/>
    </row>
    <row r="27" spans="1:27" s="19" customFormat="1" ht="15">
      <c r="A27" s="28">
        <v>2</v>
      </c>
      <c r="B27" s="29" t="s">
        <v>30</v>
      </c>
      <c r="C27" s="33">
        <f>SUM(D27:S27)</f>
        <v>7</v>
      </c>
      <c r="D27" s="31">
        <f>D28</f>
        <v>7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U27" s="117">
        <v>7</v>
      </c>
      <c r="V27" s="207"/>
      <c r="W27" s="117"/>
      <c r="X27" s="141">
        <v>39</v>
      </c>
      <c r="Y27" s="117">
        <f>U27+X27</f>
        <v>46</v>
      </c>
      <c r="Z27" s="207">
        <v>46</v>
      </c>
      <c r="AA27" s="208"/>
    </row>
    <row r="28" spans="1:27" s="50" customFormat="1" ht="15">
      <c r="A28" s="48" t="s">
        <v>16</v>
      </c>
      <c r="B28" s="42" t="s">
        <v>31</v>
      </c>
      <c r="C28" s="32">
        <v>7</v>
      </c>
      <c r="D28" s="32">
        <v>7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U28" s="200"/>
      <c r="V28" s="209"/>
      <c r="W28" s="200"/>
      <c r="X28" s="210"/>
      <c r="Y28" s="200"/>
      <c r="Z28" s="209"/>
      <c r="AA28" s="200"/>
    </row>
    <row r="29" spans="1:28" s="45" customFormat="1" ht="14.25">
      <c r="A29" s="43" t="s">
        <v>32</v>
      </c>
      <c r="B29" s="44" t="s">
        <v>33</v>
      </c>
      <c r="C29" s="51">
        <f aca="true" t="shared" si="1" ref="C29:C59">SUM(D29:S29)</f>
        <v>127</v>
      </c>
      <c r="D29" s="37"/>
      <c r="E29" s="37"/>
      <c r="F29" s="37">
        <f>F32</f>
        <v>100</v>
      </c>
      <c r="G29" s="37"/>
      <c r="H29" s="37"/>
      <c r="I29" s="37"/>
      <c r="J29" s="37"/>
      <c r="K29" s="37"/>
      <c r="L29" s="211">
        <f>L30</f>
        <v>5.17</v>
      </c>
      <c r="M29" s="37"/>
      <c r="N29" s="37">
        <f>N30</f>
        <v>0</v>
      </c>
      <c r="O29" s="37"/>
      <c r="P29" s="37">
        <f>P30</f>
        <v>21.83</v>
      </c>
      <c r="Q29" s="37"/>
      <c r="R29" s="37"/>
      <c r="S29" s="37"/>
      <c r="U29" s="116">
        <v>30.99</v>
      </c>
      <c r="V29" s="205"/>
      <c r="W29" s="116">
        <v>3.99</v>
      </c>
      <c r="X29" s="140">
        <v>10</v>
      </c>
      <c r="Y29" s="116">
        <f>U29-W29+X29</f>
        <v>37</v>
      </c>
      <c r="Z29" s="205">
        <v>37</v>
      </c>
      <c r="AA29" s="206"/>
      <c r="AB29" s="212"/>
    </row>
    <row r="30" spans="1:28" s="19" customFormat="1" ht="15">
      <c r="A30" s="28">
        <v>1</v>
      </c>
      <c r="B30" s="29" t="s">
        <v>34</v>
      </c>
      <c r="C30" s="32">
        <f t="shared" si="1"/>
        <v>27</v>
      </c>
      <c r="D30" s="31"/>
      <c r="E30" s="31"/>
      <c r="F30" s="31"/>
      <c r="G30" s="31"/>
      <c r="H30" s="31"/>
      <c r="I30" s="31"/>
      <c r="J30" s="31"/>
      <c r="K30" s="31"/>
      <c r="L30" s="64">
        <f>L31</f>
        <v>5.17</v>
      </c>
      <c r="M30" s="31"/>
      <c r="N30" s="31">
        <f>N31</f>
        <v>0</v>
      </c>
      <c r="O30" s="31"/>
      <c r="P30" s="31">
        <f>P31</f>
        <v>21.83</v>
      </c>
      <c r="Q30" s="31"/>
      <c r="R30" s="31"/>
      <c r="S30" s="31"/>
      <c r="U30" s="117"/>
      <c r="V30" s="207"/>
      <c r="W30" s="117"/>
      <c r="X30" s="141"/>
      <c r="Y30" s="117"/>
      <c r="Z30" s="207"/>
      <c r="AA30" s="208"/>
      <c r="AB30" s="213"/>
    </row>
    <row r="31" spans="1:38" s="40" customFormat="1" ht="15">
      <c r="A31" s="41" t="s">
        <v>16</v>
      </c>
      <c r="B31" s="42" t="s">
        <v>35</v>
      </c>
      <c r="C31" s="32">
        <f t="shared" si="1"/>
        <v>27</v>
      </c>
      <c r="D31" s="30"/>
      <c r="E31" s="30"/>
      <c r="F31" s="30"/>
      <c r="G31" s="30"/>
      <c r="H31" s="30"/>
      <c r="I31" s="30"/>
      <c r="J31" s="30"/>
      <c r="K31" s="30"/>
      <c r="L31" s="131">
        <v>5.17</v>
      </c>
      <c r="M31" s="30"/>
      <c r="N31" s="30"/>
      <c r="O31" s="30"/>
      <c r="P31" s="30">
        <v>21.83</v>
      </c>
      <c r="Q31" s="30"/>
      <c r="R31" s="30"/>
      <c r="S31" s="30"/>
      <c r="U31" s="118"/>
      <c r="V31" s="199"/>
      <c r="W31" s="118"/>
      <c r="X31" s="142"/>
      <c r="Y31" s="118"/>
      <c r="Z31" s="199"/>
      <c r="AA31" s="200"/>
      <c r="AL31" s="40">
        <f>P31+5.17</f>
        <v>27</v>
      </c>
    </row>
    <row r="32" spans="1:27" s="19" customFormat="1" ht="15">
      <c r="A32" s="28">
        <v>2</v>
      </c>
      <c r="B32" s="29" t="s">
        <v>36</v>
      </c>
      <c r="C32" s="32">
        <f>SUM(D32:S32)</f>
        <v>100</v>
      </c>
      <c r="D32" s="31"/>
      <c r="E32" s="31"/>
      <c r="F32" s="31">
        <f>F33</f>
        <v>100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U32" s="117"/>
      <c r="V32" s="207"/>
      <c r="W32" s="117"/>
      <c r="X32" s="141"/>
      <c r="Y32" s="117"/>
      <c r="Z32" s="207"/>
      <c r="AA32" s="208"/>
    </row>
    <row r="33" spans="1:29" s="50" customFormat="1" ht="15">
      <c r="A33" s="48" t="s">
        <v>16</v>
      </c>
      <c r="B33" s="42" t="s">
        <v>37</v>
      </c>
      <c r="C33" s="32">
        <f t="shared" si="1"/>
        <v>100</v>
      </c>
      <c r="D33" s="32"/>
      <c r="E33" s="32"/>
      <c r="F33" s="32">
        <v>100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U33" s="200"/>
      <c r="V33" s="209"/>
      <c r="W33" s="200"/>
      <c r="X33" s="210"/>
      <c r="Y33" s="200"/>
      <c r="Z33" s="209"/>
      <c r="AA33" s="200"/>
      <c r="AC33" s="50">
        <f>0.51+3.99</f>
        <v>4.5</v>
      </c>
    </row>
    <row r="34" spans="1:27" s="45" customFormat="1" ht="14.25">
      <c r="A34" s="43" t="s">
        <v>38</v>
      </c>
      <c r="B34" s="44" t="s">
        <v>39</v>
      </c>
      <c r="C34" s="37">
        <f t="shared" si="1"/>
        <v>52.36</v>
      </c>
      <c r="D34" s="37">
        <f>D35</f>
        <v>15.999999999999996</v>
      </c>
      <c r="E34" s="37"/>
      <c r="F34" s="37"/>
      <c r="G34" s="37"/>
      <c r="H34" s="37"/>
      <c r="I34" s="37"/>
      <c r="J34" s="37"/>
      <c r="K34" s="37"/>
      <c r="L34" s="211">
        <f>L35</f>
        <v>36</v>
      </c>
      <c r="M34" s="37"/>
      <c r="N34" s="37"/>
      <c r="O34" s="37"/>
      <c r="P34" s="37"/>
      <c r="Q34" s="37"/>
      <c r="R34" s="37">
        <f>R35</f>
        <v>0.36</v>
      </c>
      <c r="S34" s="37"/>
      <c r="U34" s="116">
        <v>36.51</v>
      </c>
      <c r="V34" s="205"/>
      <c r="W34" s="140">
        <v>0.51</v>
      </c>
      <c r="X34" s="140">
        <v>20</v>
      </c>
      <c r="Y34" s="140">
        <f>U34</f>
        <v>36.51</v>
      </c>
      <c r="Z34" s="205">
        <v>36</v>
      </c>
      <c r="AA34" s="206"/>
    </row>
    <row r="35" spans="1:27" s="19" customFormat="1" ht="15">
      <c r="A35" s="28">
        <v>1</v>
      </c>
      <c r="B35" s="29" t="s">
        <v>40</v>
      </c>
      <c r="C35" s="30">
        <f t="shared" si="1"/>
        <v>52.36</v>
      </c>
      <c r="D35" s="31">
        <f>D37</f>
        <v>15.999999999999996</v>
      </c>
      <c r="E35" s="31"/>
      <c r="F35" s="31"/>
      <c r="G35" s="31"/>
      <c r="H35" s="31"/>
      <c r="I35" s="31"/>
      <c r="J35" s="31"/>
      <c r="K35" s="31"/>
      <c r="L35" s="64">
        <f>L36+L37</f>
        <v>36</v>
      </c>
      <c r="M35" s="31"/>
      <c r="N35" s="31"/>
      <c r="O35" s="31"/>
      <c r="P35" s="31"/>
      <c r="Q35" s="31"/>
      <c r="R35" s="31">
        <f>R36+R37</f>
        <v>0.36</v>
      </c>
      <c r="S35" s="31"/>
      <c r="U35" s="117"/>
      <c r="V35" s="207"/>
      <c r="W35" s="117"/>
      <c r="X35" s="141"/>
      <c r="Y35" s="117"/>
      <c r="Z35" s="207"/>
      <c r="AA35" s="208"/>
    </row>
    <row r="36" spans="1:27" s="40" customFormat="1" ht="15">
      <c r="A36" s="41" t="s">
        <v>16</v>
      </c>
      <c r="B36" s="42" t="s">
        <v>41</v>
      </c>
      <c r="C36" s="30">
        <f t="shared" si="1"/>
        <v>36.36</v>
      </c>
      <c r="D36" s="30"/>
      <c r="E36" s="30"/>
      <c r="F36" s="30"/>
      <c r="G36" s="30"/>
      <c r="H36" s="30"/>
      <c r="I36" s="30"/>
      <c r="J36" s="30"/>
      <c r="K36" s="30"/>
      <c r="L36" s="131">
        <f>36.51-0.51</f>
        <v>36</v>
      </c>
      <c r="M36" s="30"/>
      <c r="N36" s="30"/>
      <c r="O36" s="30"/>
      <c r="P36" s="30"/>
      <c r="Q36" s="30"/>
      <c r="R36" s="30">
        <v>0.36</v>
      </c>
      <c r="S36" s="30"/>
      <c r="U36" s="118"/>
      <c r="V36" s="199"/>
      <c r="W36" s="142"/>
      <c r="X36" s="142"/>
      <c r="Y36" s="118"/>
      <c r="Z36" s="199"/>
      <c r="AA36" s="200"/>
    </row>
    <row r="37" spans="1:28" s="50" customFormat="1" ht="15">
      <c r="A37" s="48" t="s">
        <v>18</v>
      </c>
      <c r="B37" s="42" t="s">
        <v>42</v>
      </c>
      <c r="C37" s="131">
        <f t="shared" si="1"/>
        <v>15.999999999999996</v>
      </c>
      <c r="D37" s="203">
        <f>36.51-20.51</f>
        <v>15.999999999999996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U37" s="200"/>
      <c r="V37" s="209"/>
      <c r="W37" s="200">
        <v>20.51</v>
      </c>
      <c r="X37" s="210"/>
      <c r="Y37" s="200"/>
      <c r="Z37" s="209"/>
      <c r="AA37" s="200"/>
      <c r="AB37" s="50" t="s">
        <v>112</v>
      </c>
    </row>
    <row r="38" spans="1:28" s="45" customFormat="1" ht="14.25">
      <c r="A38" s="43" t="s">
        <v>43</v>
      </c>
      <c r="B38" s="44" t="s">
        <v>44</v>
      </c>
      <c r="C38" s="211">
        <f t="shared" si="1"/>
        <v>35.4</v>
      </c>
      <c r="D38" s="37">
        <f>D39</f>
        <v>12</v>
      </c>
      <c r="E38" s="37"/>
      <c r="F38" s="37"/>
      <c r="G38" s="37"/>
      <c r="H38" s="37"/>
      <c r="I38" s="37"/>
      <c r="J38" s="37"/>
      <c r="K38" s="37"/>
      <c r="L38" s="37">
        <f>L39</f>
        <v>0</v>
      </c>
      <c r="M38" s="37"/>
      <c r="N38" s="37">
        <f>N39</f>
        <v>12.9</v>
      </c>
      <c r="O38" s="37"/>
      <c r="P38" s="37">
        <f>P39</f>
        <v>10.5</v>
      </c>
      <c r="Q38" s="37"/>
      <c r="R38" s="37"/>
      <c r="S38" s="37"/>
      <c r="U38" s="116">
        <f>L41+D40</f>
        <v>12</v>
      </c>
      <c r="V38" s="205"/>
      <c r="W38" s="116"/>
      <c r="X38" s="140">
        <v>41.9</v>
      </c>
      <c r="Y38" s="116">
        <f>U38+V38+X38</f>
        <v>53.9</v>
      </c>
      <c r="Z38" s="205">
        <v>104.5</v>
      </c>
      <c r="AA38" s="206"/>
      <c r="AB38" s="45" t="s">
        <v>111</v>
      </c>
    </row>
    <row r="39" spans="1:27" s="19" customFormat="1" ht="15">
      <c r="A39" s="28">
        <v>1</v>
      </c>
      <c r="B39" s="29" t="s">
        <v>45</v>
      </c>
      <c r="C39" s="30">
        <f t="shared" si="1"/>
        <v>35.4</v>
      </c>
      <c r="D39" s="31">
        <f>D40+D41</f>
        <v>12</v>
      </c>
      <c r="E39" s="31"/>
      <c r="F39" s="31"/>
      <c r="G39" s="31"/>
      <c r="H39" s="31"/>
      <c r="I39" s="31"/>
      <c r="J39" s="31"/>
      <c r="K39" s="31"/>
      <c r="L39" s="31">
        <f>L41</f>
        <v>0</v>
      </c>
      <c r="M39" s="31"/>
      <c r="N39" s="31">
        <f>N40+N41</f>
        <v>12.9</v>
      </c>
      <c r="O39" s="31"/>
      <c r="P39" s="31">
        <f>P41</f>
        <v>10.5</v>
      </c>
      <c r="Q39" s="31"/>
      <c r="R39" s="31"/>
      <c r="S39" s="31"/>
      <c r="U39" s="117"/>
      <c r="V39" s="207"/>
      <c r="W39" s="117"/>
      <c r="X39" s="141"/>
      <c r="Y39" s="117"/>
      <c r="Z39" s="207"/>
      <c r="AA39" s="208"/>
    </row>
    <row r="40" spans="1:38" s="40" customFormat="1" ht="15">
      <c r="A40" s="41" t="s">
        <v>16</v>
      </c>
      <c r="B40" s="42" t="s">
        <v>46</v>
      </c>
      <c r="C40" s="30">
        <f t="shared" si="1"/>
        <v>12</v>
      </c>
      <c r="D40" s="30">
        <v>12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U40" s="118"/>
      <c r="V40" s="199"/>
      <c r="W40" s="118"/>
      <c r="X40" s="142"/>
      <c r="Y40" s="118"/>
      <c r="Z40" s="199"/>
      <c r="AA40" s="200"/>
      <c r="AL40" s="40">
        <f>10.5+6.3</f>
        <v>16.8</v>
      </c>
    </row>
    <row r="41" spans="1:38" s="40" customFormat="1" ht="15">
      <c r="A41" s="41" t="s">
        <v>18</v>
      </c>
      <c r="B41" s="42" t="s">
        <v>47</v>
      </c>
      <c r="C41" s="30">
        <f t="shared" si="1"/>
        <v>23.4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>
        <v>12.9</v>
      </c>
      <c r="O41" s="30"/>
      <c r="P41" s="30">
        <v>10.5</v>
      </c>
      <c r="Q41" s="30"/>
      <c r="R41" s="30"/>
      <c r="S41" s="30"/>
      <c r="U41" s="118"/>
      <c r="V41" s="199"/>
      <c r="W41" s="118"/>
      <c r="X41" s="142"/>
      <c r="Y41" s="118"/>
      <c r="Z41" s="199"/>
      <c r="AA41" s="200"/>
      <c r="AL41" s="40">
        <f>N41+P41</f>
        <v>23.4</v>
      </c>
    </row>
    <row r="42" spans="1:27" s="45" customFormat="1" ht="14.25">
      <c r="A42" s="43" t="s">
        <v>48</v>
      </c>
      <c r="B42" s="44" t="s">
        <v>49</v>
      </c>
      <c r="C42" s="37">
        <f t="shared" si="1"/>
        <v>254.52999999999997</v>
      </c>
      <c r="D42" s="37">
        <f>D43+D46+D49</f>
        <v>142</v>
      </c>
      <c r="E42" s="37"/>
      <c r="F42" s="37"/>
      <c r="G42" s="37"/>
      <c r="H42" s="37"/>
      <c r="I42" s="37"/>
      <c r="J42" s="37">
        <f>J43+J46+J49</f>
        <v>11.2</v>
      </c>
      <c r="K42" s="37"/>
      <c r="L42" s="37"/>
      <c r="M42" s="37"/>
      <c r="N42" s="37">
        <f>N43+N46+N49</f>
        <v>101.33</v>
      </c>
      <c r="O42" s="37"/>
      <c r="P42" s="37"/>
      <c r="Q42" s="37"/>
      <c r="R42" s="37"/>
      <c r="S42" s="37"/>
      <c r="U42" s="116"/>
      <c r="V42" s="205"/>
      <c r="W42" s="116"/>
      <c r="X42" s="140"/>
      <c r="Y42" s="116"/>
      <c r="Z42" s="205"/>
      <c r="AA42" s="206"/>
    </row>
    <row r="43" spans="1:27" s="19" customFormat="1" ht="15">
      <c r="A43" s="28">
        <v>1</v>
      </c>
      <c r="B43" s="29" t="s">
        <v>50</v>
      </c>
      <c r="C43" s="30">
        <f t="shared" si="1"/>
        <v>93.2</v>
      </c>
      <c r="D43" s="64">
        <f>D44+D45</f>
        <v>57</v>
      </c>
      <c r="E43" s="31"/>
      <c r="F43" s="31"/>
      <c r="G43" s="31"/>
      <c r="H43" s="31"/>
      <c r="I43" s="31"/>
      <c r="J43" s="31">
        <f>J44+J45</f>
        <v>11.2</v>
      </c>
      <c r="K43" s="31"/>
      <c r="L43" s="31"/>
      <c r="M43" s="31"/>
      <c r="N43" s="31">
        <f>N44+N45</f>
        <v>25</v>
      </c>
      <c r="O43" s="31"/>
      <c r="P43" s="31"/>
      <c r="Q43" s="31"/>
      <c r="R43" s="31"/>
      <c r="S43" s="31"/>
      <c r="U43" s="117">
        <v>48.2</v>
      </c>
      <c r="V43" s="207">
        <v>8.8</v>
      </c>
      <c r="W43" s="117"/>
      <c r="X43" s="141">
        <v>23</v>
      </c>
      <c r="Y43" s="117">
        <f>U43+V43+X43</f>
        <v>80</v>
      </c>
      <c r="Z43" s="207">
        <v>80</v>
      </c>
      <c r="AA43" s="208"/>
    </row>
    <row r="44" spans="1:27" s="40" customFormat="1" ht="15">
      <c r="A44" s="41" t="s">
        <v>16</v>
      </c>
      <c r="B44" s="42" t="s">
        <v>51</v>
      </c>
      <c r="C44" s="30">
        <f t="shared" si="1"/>
        <v>68.2</v>
      </c>
      <c r="D44" s="131">
        <f>48.2+8.8</f>
        <v>57</v>
      </c>
      <c r="E44" s="30"/>
      <c r="F44" s="30"/>
      <c r="G44" s="30"/>
      <c r="H44" s="30"/>
      <c r="I44" s="30"/>
      <c r="J44" s="30">
        <v>11.2</v>
      </c>
      <c r="K44" s="30"/>
      <c r="L44" s="30"/>
      <c r="M44" s="30"/>
      <c r="N44" s="30"/>
      <c r="O44" s="30"/>
      <c r="P44" s="30"/>
      <c r="Q44" s="30"/>
      <c r="R44" s="30"/>
      <c r="S44" s="30"/>
      <c r="U44" s="118"/>
      <c r="V44" s="199"/>
      <c r="W44" s="118"/>
      <c r="X44" s="142"/>
      <c r="Y44" s="118"/>
      <c r="Z44" s="199"/>
      <c r="AA44" s="200"/>
    </row>
    <row r="45" spans="1:27" s="40" customFormat="1" ht="15">
      <c r="A45" s="41" t="s">
        <v>18</v>
      </c>
      <c r="B45" s="42" t="s">
        <v>52</v>
      </c>
      <c r="C45" s="30">
        <f t="shared" si="1"/>
        <v>25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14">
        <v>25</v>
      </c>
      <c r="O45" s="30"/>
      <c r="P45" s="30"/>
      <c r="Q45" s="30"/>
      <c r="R45" s="30"/>
      <c r="S45" s="30"/>
      <c r="U45" s="118"/>
      <c r="V45" s="199"/>
      <c r="W45" s="118"/>
      <c r="X45" s="142"/>
      <c r="Y45" s="118"/>
      <c r="Z45" s="199"/>
      <c r="AA45" s="200"/>
    </row>
    <row r="46" spans="1:27" s="19" customFormat="1" ht="15">
      <c r="A46" s="28">
        <v>2</v>
      </c>
      <c r="B46" s="29" t="s">
        <v>53</v>
      </c>
      <c r="C46" s="30">
        <f t="shared" si="1"/>
        <v>86.9</v>
      </c>
      <c r="D46" s="64">
        <f>D47+D48</f>
        <v>50</v>
      </c>
      <c r="E46" s="31"/>
      <c r="F46" s="31"/>
      <c r="G46" s="31"/>
      <c r="H46" s="31"/>
      <c r="I46" s="31"/>
      <c r="J46" s="31"/>
      <c r="K46" s="31"/>
      <c r="L46" s="31"/>
      <c r="M46" s="31"/>
      <c r="N46" s="31">
        <f>N47+N48</f>
        <v>36.9</v>
      </c>
      <c r="O46" s="31"/>
      <c r="P46" s="31"/>
      <c r="Q46" s="31"/>
      <c r="R46" s="31"/>
      <c r="S46" s="31"/>
      <c r="U46" s="117">
        <v>58.45</v>
      </c>
      <c r="V46" s="207"/>
      <c r="W46" s="117">
        <v>8.45</v>
      </c>
      <c r="X46" s="141">
        <v>20</v>
      </c>
      <c r="Y46" s="117">
        <f>U46-W46+X46</f>
        <v>70</v>
      </c>
      <c r="Z46" s="207">
        <v>70</v>
      </c>
      <c r="AA46" s="208"/>
    </row>
    <row r="47" spans="1:28" s="40" customFormat="1" ht="15">
      <c r="A47" s="41" t="s">
        <v>16</v>
      </c>
      <c r="B47" s="42" t="s">
        <v>54</v>
      </c>
      <c r="C47" s="30">
        <f t="shared" si="1"/>
        <v>50</v>
      </c>
      <c r="D47" s="131">
        <f>58.45-8.45</f>
        <v>50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U47" s="118"/>
      <c r="V47" s="199"/>
      <c r="W47" s="118"/>
      <c r="X47" s="142"/>
      <c r="Y47" s="118"/>
      <c r="Z47" s="199"/>
      <c r="AA47" s="200"/>
      <c r="AB47" s="40" t="s">
        <v>113</v>
      </c>
    </row>
    <row r="48" spans="1:29" s="40" customFormat="1" ht="15">
      <c r="A48" s="41" t="s">
        <v>18</v>
      </c>
      <c r="B48" s="42" t="s">
        <v>52</v>
      </c>
      <c r="C48" s="30">
        <f t="shared" si="1"/>
        <v>36.9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>
        <v>36.9</v>
      </c>
      <c r="O48" s="30"/>
      <c r="P48" s="30"/>
      <c r="Q48" s="30"/>
      <c r="R48" s="30"/>
      <c r="S48" s="30"/>
      <c r="U48" s="118"/>
      <c r="V48" s="199"/>
      <c r="W48" s="118"/>
      <c r="X48" s="142"/>
      <c r="Y48" s="118"/>
      <c r="Z48" s="199"/>
      <c r="AA48" s="200"/>
      <c r="AC48" s="215"/>
    </row>
    <row r="49" spans="1:29" s="19" customFormat="1" ht="15">
      <c r="A49" s="28">
        <v>3</v>
      </c>
      <c r="B49" s="29" t="s">
        <v>55</v>
      </c>
      <c r="C49" s="30">
        <f t="shared" si="1"/>
        <v>74.43</v>
      </c>
      <c r="D49" s="64">
        <f>D50</f>
        <v>35</v>
      </c>
      <c r="E49" s="31"/>
      <c r="F49" s="31"/>
      <c r="G49" s="31"/>
      <c r="H49" s="31"/>
      <c r="I49" s="31"/>
      <c r="J49" s="31"/>
      <c r="K49" s="31"/>
      <c r="L49" s="31"/>
      <c r="M49" s="31"/>
      <c r="N49" s="31">
        <f>N50+N51</f>
        <v>39.43</v>
      </c>
      <c r="O49" s="31"/>
      <c r="P49" s="31"/>
      <c r="Q49" s="31"/>
      <c r="R49" s="31"/>
      <c r="S49" s="31"/>
      <c r="U49" s="117">
        <v>54.14</v>
      </c>
      <c r="V49" s="207"/>
      <c r="W49" s="117">
        <v>19.14</v>
      </c>
      <c r="X49" s="141">
        <v>20</v>
      </c>
      <c r="Y49" s="117">
        <f>U49+X49-W49</f>
        <v>55</v>
      </c>
      <c r="Z49" s="207">
        <v>55</v>
      </c>
      <c r="AA49" s="208"/>
      <c r="AC49" s="216"/>
    </row>
    <row r="50" spans="1:28" s="40" customFormat="1" ht="15">
      <c r="A50" s="41" t="s">
        <v>16</v>
      </c>
      <c r="B50" s="42" t="s">
        <v>56</v>
      </c>
      <c r="C50" s="131">
        <f t="shared" si="1"/>
        <v>35</v>
      </c>
      <c r="D50" s="131">
        <f>54.14-19.14</f>
        <v>35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U50" s="118"/>
      <c r="V50" s="199"/>
      <c r="W50" s="118"/>
      <c r="X50" s="142"/>
      <c r="Y50" s="118"/>
      <c r="Z50" s="199"/>
      <c r="AA50" s="200"/>
      <c r="AB50" s="40" t="s">
        <v>113</v>
      </c>
    </row>
    <row r="51" spans="1:27" s="40" customFormat="1" ht="15">
      <c r="A51" s="41" t="s">
        <v>18</v>
      </c>
      <c r="B51" s="42" t="s">
        <v>52</v>
      </c>
      <c r="C51" s="30">
        <f t="shared" si="1"/>
        <v>39.43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>
        <v>39.43</v>
      </c>
      <c r="O51" s="30"/>
      <c r="P51" s="30"/>
      <c r="Q51" s="30"/>
      <c r="R51" s="30"/>
      <c r="S51" s="30"/>
      <c r="U51" s="118"/>
      <c r="V51" s="199"/>
      <c r="W51" s="118"/>
      <c r="X51" s="142"/>
      <c r="Y51" s="118"/>
      <c r="Z51" s="199"/>
      <c r="AA51" s="200"/>
    </row>
    <row r="52" spans="1:29" s="45" customFormat="1" ht="14.25">
      <c r="A52" s="43" t="s">
        <v>57</v>
      </c>
      <c r="B52" s="44" t="s">
        <v>58</v>
      </c>
      <c r="C52" s="37">
        <f t="shared" si="1"/>
        <v>29.5</v>
      </c>
      <c r="D52" s="37"/>
      <c r="E52" s="37"/>
      <c r="F52" s="37">
        <f>F53</f>
        <v>20</v>
      </c>
      <c r="G52" s="37"/>
      <c r="H52" s="37"/>
      <c r="I52" s="37"/>
      <c r="J52" s="37"/>
      <c r="K52" s="37"/>
      <c r="L52" s="37">
        <f>L53</f>
        <v>3.2</v>
      </c>
      <c r="M52" s="37"/>
      <c r="N52" s="37">
        <f>N53</f>
        <v>0</v>
      </c>
      <c r="O52" s="37"/>
      <c r="P52" s="37">
        <f>P53</f>
        <v>6.3</v>
      </c>
      <c r="Q52" s="37"/>
      <c r="R52" s="37"/>
      <c r="S52" s="37"/>
      <c r="U52" s="116"/>
      <c r="V52" s="205"/>
      <c r="W52" s="116"/>
      <c r="X52" s="140"/>
      <c r="Y52" s="116"/>
      <c r="Z52" s="205"/>
      <c r="AA52" s="206"/>
      <c r="AC52" s="212"/>
    </row>
    <row r="53" spans="1:27" s="19" customFormat="1" ht="15">
      <c r="A53" s="28">
        <v>1</v>
      </c>
      <c r="B53" s="29" t="s">
        <v>59</v>
      </c>
      <c r="C53" s="33">
        <f t="shared" si="1"/>
        <v>29.5</v>
      </c>
      <c r="D53" s="31"/>
      <c r="E53" s="31"/>
      <c r="F53" s="31">
        <f>F54+F55</f>
        <v>20</v>
      </c>
      <c r="G53" s="31"/>
      <c r="H53" s="31"/>
      <c r="I53" s="31"/>
      <c r="J53" s="31"/>
      <c r="K53" s="31"/>
      <c r="L53" s="31">
        <f>L54+L55</f>
        <v>3.2</v>
      </c>
      <c r="M53" s="31"/>
      <c r="N53" s="31">
        <f>N54+N55</f>
        <v>0</v>
      </c>
      <c r="O53" s="31"/>
      <c r="P53" s="31">
        <f>P54+P55</f>
        <v>6.3</v>
      </c>
      <c r="Q53" s="31"/>
      <c r="R53" s="31"/>
      <c r="S53" s="31"/>
      <c r="U53" s="117"/>
      <c r="V53" s="207"/>
      <c r="W53" s="117"/>
      <c r="X53" s="141"/>
      <c r="Y53" s="117"/>
      <c r="Z53" s="207"/>
      <c r="AA53" s="208"/>
    </row>
    <row r="54" spans="1:27" s="40" customFormat="1" ht="15">
      <c r="A54" s="41" t="s">
        <v>16</v>
      </c>
      <c r="B54" s="42" t="s">
        <v>60</v>
      </c>
      <c r="C54" s="33">
        <f t="shared" si="1"/>
        <v>9.5</v>
      </c>
      <c r="D54" s="30"/>
      <c r="E54" s="30"/>
      <c r="F54" s="30"/>
      <c r="G54" s="30"/>
      <c r="H54" s="30"/>
      <c r="I54" s="30"/>
      <c r="J54" s="30"/>
      <c r="K54" s="30"/>
      <c r="L54" s="131">
        <v>3.2</v>
      </c>
      <c r="M54" s="30"/>
      <c r="N54" s="30"/>
      <c r="O54" s="30"/>
      <c r="P54" s="30">
        <v>6.3</v>
      </c>
      <c r="Q54" s="30"/>
      <c r="R54" s="30"/>
      <c r="S54" s="30"/>
      <c r="U54" s="118"/>
      <c r="V54" s="199"/>
      <c r="W54" s="118"/>
      <c r="X54" s="142"/>
      <c r="Y54" s="118"/>
      <c r="Z54" s="199"/>
      <c r="AA54" s="200"/>
    </row>
    <row r="55" spans="1:27" s="40" customFormat="1" ht="15">
      <c r="A55" s="41" t="s">
        <v>18</v>
      </c>
      <c r="B55" s="42" t="s">
        <v>19</v>
      </c>
      <c r="C55" s="33">
        <f t="shared" si="1"/>
        <v>20</v>
      </c>
      <c r="D55" s="30"/>
      <c r="E55" s="30"/>
      <c r="F55" s="30">
        <v>20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U55" s="118"/>
      <c r="V55" s="199"/>
      <c r="W55" s="118"/>
      <c r="X55" s="142"/>
      <c r="Y55" s="118"/>
      <c r="Z55" s="199"/>
      <c r="AA55" s="200"/>
    </row>
    <row r="56" spans="1:27" s="218" customFormat="1" ht="15">
      <c r="A56" s="44" t="s">
        <v>61</v>
      </c>
      <c r="B56" s="44" t="s">
        <v>62</v>
      </c>
      <c r="C56" s="37">
        <f t="shared" si="1"/>
        <v>10.7</v>
      </c>
      <c r="D56" s="217"/>
      <c r="E56" s="217"/>
      <c r="F56" s="217"/>
      <c r="G56" s="217"/>
      <c r="H56" s="217"/>
      <c r="I56" s="217"/>
      <c r="J56" s="217"/>
      <c r="K56" s="217"/>
      <c r="L56" s="54">
        <f>L57</f>
        <v>0</v>
      </c>
      <c r="M56" s="54"/>
      <c r="N56" s="54">
        <f>N57</f>
        <v>10.7</v>
      </c>
      <c r="O56" s="217"/>
      <c r="P56" s="217"/>
      <c r="Q56" s="217"/>
      <c r="R56" s="217"/>
      <c r="S56" s="217"/>
      <c r="U56" s="219">
        <v>1.1</v>
      </c>
      <c r="V56" s="220"/>
      <c r="W56" s="219">
        <v>1.1</v>
      </c>
      <c r="X56" s="221">
        <v>19.7</v>
      </c>
      <c r="Y56" s="219"/>
      <c r="Z56" s="220">
        <v>19.7</v>
      </c>
      <c r="AA56" s="222"/>
    </row>
    <row r="57" spans="1:27" s="218" customFormat="1" ht="15">
      <c r="A57" s="28">
        <v>1</v>
      </c>
      <c r="B57" s="29" t="s">
        <v>63</v>
      </c>
      <c r="C57" s="30">
        <f t="shared" si="1"/>
        <v>10.7</v>
      </c>
      <c r="D57" s="217"/>
      <c r="E57" s="217"/>
      <c r="F57" s="217"/>
      <c r="G57" s="217"/>
      <c r="H57" s="217"/>
      <c r="I57" s="217"/>
      <c r="J57" s="217"/>
      <c r="K57" s="217"/>
      <c r="L57" s="55">
        <f>L59</f>
        <v>0</v>
      </c>
      <c r="M57" s="54"/>
      <c r="N57" s="55">
        <f>N58</f>
        <v>10.7</v>
      </c>
      <c r="O57" s="217"/>
      <c r="P57" s="217"/>
      <c r="Q57" s="217"/>
      <c r="R57" s="217"/>
      <c r="S57" s="217"/>
      <c r="U57" s="219"/>
      <c r="V57" s="220"/>
      <c r="W57" s="219"/>
      <c r="X57" s="221">
        <f>SUM(X13:X56)</f>
        <v>350.59999999999997</v>
      </c>
      <c r="Y57" s="219"/>
      <c r="Z57" s="220"/>
      <c r="AA57" s="222"/>
    </row>
    <row r="58" spans="1:27" s="40" customFormat="1" ht="15">
      <c r="A58" s="41" t="s">
        <v>16</v>
      </c>
      <c r="B58" s="42" t="s">
        <v>64</v>
      </c>
      <c r="C58" s="30">
        <f t="shared" si="1"/>
        <v>10.7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>
        <v>10.7</v>
      </c>
      <c r="O58" s="30"/>
      <c r="P58" s="30"/>
      <c r="Q58" s="30"/>
      <c r="R58" s="30"/>
      <c r="S58" s="30"/>
      <c r="U58" s="118"/>
      <c r="V58" s="199"/>
      <c r="W58" s="118"/>
      <c r="X58" s="142"/>
      <c r="Y58" s="118"/>
      <c r="Z58" s="199"/>
      <c r="AA58" s="200"/>
    </row>
    <row r="59" spans="1:28" s="224" customFormat="1" ht="15">
      <c r="A59" s="48" t="s">
        <v>65</v>
      </c>
      <c r="B59" s="202" t="s">
        <v>52</v>
      </c>
      <c r="C59" s="32">
        <f t="shared" si="1"/>
        <v>0</v>
      </c>
      <c r="D59" s="32"/>
      <c r="E59" s="32"/>
      <c r="F59" s="32"/>
      <c r="G59" s="32"/>
      <c r="H59" s="32"/>
      <c r="I59" s="32"/>
      <c r="J59" s="32"/>
      <c r="K59" s="32"/>
      <c r="L59" s="32">
        <f>1.1-1.1</f>
        <v>0</v>
      </c>
      <c r="M59" s="223"/>
      <c r="N59" s="223"/>
      <c r="O59" s="223"/>
      <c r="P59" s="223"/>
      <c r="Q59" s="223"/>
      <c r="R59" s="223"/>
      <c r="S59" s="223"/>
      <c r="U59" s="225"/>
      <c r="V59" s="209">
        <f>SUM(V13:V57)</f>
        <v>58.5</v>
      </c>
      <c r="W59" s="209">
        <f>SUM(W13:W57)</f>
        <v>54.9</v>
      </c>
      <c r="X59" s="226"/>
      <c r="Y59" s="225"/>
      <c r="Z59" s="227"/>
      <c r="AA59" s="200"/>
      <c r="AB59" s="228">
        <f>V59-W59</f>
        <v>3.6000000000000014</v>
      </c>
    </row>
    <row r="60" spans="1:28" s="271" customFormat="1" ht="15.75">
      <c r="A60" s="266" t="s">
        <v>66</v>
      </c>
      <c r="B60" s="267" t="s">
        <v>67</v>
      </c>
      <c r="C60" s="268">
        <f>SUM(D60:R60)</f>
        <v>584.3800000000001</v>
      </c>
      <c r="D60" s="269">
        <f>D66+D71+D82+D86+D90</f>
        <v>198.54</v>
      </c>
      <c r="E60" s="269"/>
      <c r="F60" s="270">
        <f>F61+F77+F97</f>
        <v>50</v>
      </c>
      <c r="G60" s="269"/>
      <c r="H60" s="269"/>
      <c r="I60" s="269"/>
      <c r="J60" s="270">
        <f>J71+J90</f>
        <v>13.19</v>
      </c>
      <c r="K60" s="269"/>
      <c r="L60" s="270">
        <f>L61+L66+L71+L77+L82+L86+L97+L90</f>
        <v>280.46000000000004</v>
      </c>
      <c r="M60" s="269"/>
      <c r="N60" s="270">
        <f>N61+N66+N71+N82+N77+N86+N90+N97+N101</f>
        <v>33</v>
      </c>
      <c r="O60" s="269"/>
      <c r="P60" s="269">
        <f>P61+P66+P71+P82+P77+P86+P90+P97+P101</f>
        <v>0</v>
      </c>
      <c r="Q60" s="269"/>
      <c r="R60" s="269">
        <f>R61+R66+R71+R82+R77+R86+R90+R97+R101</f>
        <v>9.19</v>
      </c>
      <c r="S60" s="269"/>
      <c r="U60" s="272"/>
      <c r="V60" s="273"/>
      <c r="W60" s="272"/>
      <c r="X60" s="274"/>
      <c r="Y60" s="275"/>
      <c r="Z60" s="273"/>
      <c r="AA60" s="276"/>
      <c r="AB60" s="277"/>
    </row>
    <row r="61" spans="1:28" s="40" customFormat="1" ht="15">
      <c r="A61" s="35" t="s">
        <v>13</v>
      </c>
      <c r="B61" s="36" t="s">
        <v>14</v>
      </c>
      <c r="C61" s="37">
        <f aca="true" t="shared" si="2" ref="C61:C95">SUM(D61:S61)</f>
        <v>54.46</v>
      </c>
      <c r="D61" s="38"/>
      <c r="E61" s="38"/>
      <c r="F61" s="39">
        <f>F62</f>
        <v>10</v>
      </c>
      <c r="G61" s="38"/>
      <c r="H61" s="38"/>
      <c r="I61" s="38"/>
      <c r="J61" s="38"/>
      <c r="K61" s="38"/>
      <c r="L61" s="39">
        <f>L62</f>
        <v>41</v>
      </c>
      <c r="M61" s="38"/>
      <c r="N61" s="38"/>
      <c r="O61" s="38"/>
      <c r="P61" s="38"/>
      <c r="Q61" s="38"/>
      <c r="R61" s="39">
        <f>R62</f>
        <v>3.46</v>
      </c>
      <c r="S61" s="38"/>
      <c r="U61" s="118">
        <v>23.3</v>
      </c>
      <c r="V61" s="199">
        <v>17.7</v>
      </c>
      <c r="W61" s="118"/>
      <c r="X61" s="142">
        <v>157</v>
      </c>
      <c r="Y61" s="229">
        <f>U61+V61+X61</f>
        <v>198</v>
      </c>
      <c r="Z61" s="199"/>
      <c r="AA61" s="206">
        <v>198</v>
      </c>
      <c r="AB61" s="230"/>
    </row>
    <row r="62" spans="1:27" s="19" customFormat="1" ht="15">
      <c r="A62" s="28">
        <v>1</v>
      </c>
      <c r="B62" s="29" t="s">
        <v>15</v>
      </c>
      <c r="C62" s="33">
        <f t="shared" si="2"/>
        <v>54.46</v>
      </c>
      <c r="D62" s="31"/>
      <c r="E62" s="31"/>
      <c r="F62" s="31">
        <f>F63+F64</f>
        <v>10</v>
      </c>
      <c r="G62" s="31"/>
      <c r="H62" s="31"/>
      <c r="I62" s="31"/>
      <c r="J62" s="31"/>
      <c r="K62" s="31"/>
      <c r="L62" s="64">
        <f>L63+L64+L65</f>
        <v>41</v>
      </c>
      <c r="M62" s="31"/>
      <c r="N62" s="31"/>
      <c r="O62" s="31"/>
      <c r="P62" s="31"/>
      <c r="Q62" s="31"/>
      <c r="R62" s="31">
        <f>R63+R64</f>
        <v>3.46</v>
      </c>
      <c r="S62" s="31"/>
      <c r="U62" s="117"/>
      <c r="V62" s="207"/>
      <c r="W62" s="117"/>
      <c r="X62" s="141"/>
      <c r="Y62" s="117"/>
      <c r="Z62" s="207"/>
      <c r="AA62" s="208"/>
    </row>
    <row r="63" spans="1:27" s="40" customFormat="1" ht="15">
      <c r="A63" s="41" t="s">
        <v>16</v>
      </c>
      <c r="B63" s="42" t="s">
        <v>17</v>
      </c>
      <c r="C63" s="30">
        <f t="shared" si="2"/>
        <v>26.76</v>
      </c>
      <c r="D63" s="38"/>
      <c r="E63" s="38"/>
      <c r="F63" s="38"/>
      <c r="G63" s="38"/>
      <c r="H63" s="38"/>
      <c r="I63" s="38"/>
      <c r="J63" s="38"/>
      <c r="K63" s="38"/>
      <c r="L63" s="38">
        <v>23.3</v>
      </c>
      <c r="M63" s="38"/>
      <c r="N63" s="38"/>
      <c r="O63" s="38"/>
      <c r="P63" s="38"/>
      <c r="Q63" s="38"/>
      <c r="R63" s="38">
        <v>3.46</v>
      </c>
      <c r="S63" s="38"/>
      <c r="U63" s="118"/>
      <c r="V63" s="199"/>
      <c r="W63" s="118"/>
      <c r="X63" s="142"/>
      <c r="Y63" s="118"/>
      <c r="Z63" s="199"/>
      <c r="AA63" s="200"/>
    </row>
    <row r="64" spans="1:27" s="40" customFormat="1" ht="15">
      <c r="A64" s="41" t="s">
        <v>18</v>
      </c>
      <c r="B64" s="42" t="s">
        <v>19</v>
      </c>
      <c r="C64" s="30">
        <f t="shared" si="2"/>
        <v>10</v>
      </c>
      <c r="D64" s="38"/>
      <c r="E64" s="38"/>
      <c r="F64" s="38">
        <v>10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U64" s="118"/>
      <c r="V64" s="199"/>
      <c r="W64" s="118"/>
      <c r="X64" s="142"/>
      <c r="Y64" s="118"/>
      <c r="Z64" s="199"/>
      <c r="AA64" s="200"/>
    </row>
    <row r="65" spans="1:27" s="40" customFormat="1" ht="15">
      <c r="A65" s="48" t="s">
        <v>24</v>
      </c>
      <c r="B65" s="202" t="s">
        <v>98</v>
      </c>
      <c r="C65" s="30"/>
      <c r="D65" s="38"/>
      <c r="E65" s="38"/>
      <c r="F65" s="38"/>
      <c r="G65" s="38"/>
      <c r="H65" s="38"/>
      <c r="I65" s="38"/>
      <c r="J65" s="38"/>
      <c r="K65" s="38"/>
      <c r="L65" s="231">
        <v>17.7</v>
      </c>
      <c r="M65" s="38"/>
      <c r="N65" s="38"/>
      <c r="O65" s="38"/>
      <c r="P65" s="38"/>
      <c r="Q65" s="38"/>
      <c r="R65" s="38"/>
      <c r="S65" s="38"/>
      <c r="U65" s="118"/>
      <c r="V65" s="199"/>
      <c r="W65" s="118"/>
      <c r="X65" s="142"/>
      <c r="Y65" s="118"/>
      <c r="Z65" s="199"/>
      <c r="AA65" s="200"/>
    </row>
    <row r="66" spans="1:30" s="45" customFormat="1" ht="14.25">
      <c r="A66" s="43" t="s">
        <v>20</v>
      </c>
      <c r="B66" s="44" t="s">
        <v>21</v>
      </c>
      <c r="C66" s="37">
        <f t="shared" si="2"/>
        <v>168.9</v>
      </c>
      <c r="D66" s="39">
        <f>D67</f>
        <v>17.35</v>
      </c>
      <c r="E66" s="39"/>
      <c r="F66" s="39"/>
      <c r="G66" s="39"/>
      <c r="H66" s="39"/>
      <c r="I66" s="39"/>
      <c r="J66" s="39">
        <f>J67</f>
        <v>0</v>
      </c>
      <c r="K66" s="39"/>
      <c r="L66" s="39">
        <f>L67</f>
        <v>122.65</v>
      </c>
      <c r="M66" s="39"/>
      <c r="N66" s="65">
        <f>N67</f>
        <v>25</v>
      </c>
      <c r="O66" s="39"/>
      <c r="P66" s="39">
        <f>P67</f>
        <v>0</v>
      </c>
      <c r="Q66" s="39"/>
      <c r="R66" s="39">
        <f>R67</f>
        <v>3.9</v>
      </c>
      <c r="S66" s="39"/>
      <c r="U66" s="116">
        <f>122.65+12.35</f>
        <v>135</v>
      </c>
      <c r="V66" s="205">
        <v>5</v>
      </c>
      <c r="W66" s="116"/>
      <c r="X66" s="140">
        <f>0</f>
        <v>0</v>
      </c>
      <c r="Y66" s="116">
        <f>U66+V66</f>
        <v>140</v>
      </c>
      <c r="Z66" s="205"/>
      <c r="AA66" s="206">
        <v>150</v>
      </c>
      <c r="AB66" s="311" t="s">
        <v>110</v>
      </c>
      <c r="AC66" s="312"/>
      <c r="AD66" s="312"/>
    </row>
    <row r="67" spans="1:27" s="19" customFormat="1" ht="15">
      <c r="A67" s="28">
        <v>1</v>
      </c>
      <c r="B67" s="29" t="s">
        <v>22</v>
      </c>
      <c r="C67" s="33">
        <f t="shared" si="2"/>
        <v>168.9</v>
      </c>
      <c r="D67" s="31">
        <f>D69</f>
        <v>17.35</v>
      </c>
      <c r="E67" s="31"/>
      <c r="F67" s="31"/>
      <c r="G67" s="31"/>
      <c r="H67" s="31"/>
      <c r="I67" s="31"/>
      <c r="J67" s="31">
        <f>J68+J69</f>
        <v>0</v>
      </c>
      <c r="K67" s="31"/>
      <c r="L67" s="31">
        <f>L68+L69</f>
        <v>122.65</v>
      </c>
      <c r="M67" s="31"/>
      <c r="N67" s="64">
        <f>N70</f>
        <v>25</v>
      </c>
      <c r="O67" s="31"/>
      <c r="P67" s="31">
        <f>P68</f>
        <v>0</v>
      </c>
      <c r="Q67" s="31"/>
      <c r="R67" s="31">
        <f>R68+R69</f>
        <v>3.9</v>
      </c>
      <c r="S67" s="31"/>
      <c r="U67" s="117"/>
      <c r="V67" s="207"/>
      <c r="W67" s="117"/>
      <c r="X67" s="141"/>
      <c r="Y67" s="117"/>
      <c r="Z67" s="207"/>
      <c r="AA67" s="208"/>
    </row>
    <row r="68" spans="1:27" s="40" customFormat="1" ht="15">
      <c r="A68" s="41" t="s">
        <v>16</v>
      </c>
      <c r="B68" s="202" t="s">
        <v>97</v>
      </c>
      <c r="C68" s="30">
        <f t="shared" si="2"/>
        <v>126.55000000000001</v>
      </c>
      <c r="D68" s="38"/>
      <c r="E68" s="38"/>
      <c r="F68" s="38"/>
      <c r="G68" s="38"/>
      <c r="H68" s="38"/>
      <c r="I68" s="38"/>
      <c r="J68" s="38"/>
      <c r="K68" s="38"/>
      <c r="L68" s="38">
        <v>122.65</v>
      </c>
      <c r="M68" s="38"/>
      <c r="N68" s="38"/>
      <c r="O68" s="38"/>
      <c r="P68" s="232"/>
      <c r="Q68" s="38"/>
      <c r="R68" s="38">
        <v>3.9</v>
      </c>
      <c r="S68" s="38"/>
      <c r="U68" s="118"/>
      <c r="V68" s="199"/>
      <c r="W68" s="118"/>
      <c r="X68" s="142"/>
      <c r="Y68" s="118"/>
      <c r="Z68" s="199"/>
      <c r="AA68" s="200"/>
    </row>
    <row r="69" spans="1:27" s="40" customFormat="1" ht="15">
      <c r="A69" s="41" t="s">
        <v>18</v>
      </c>
      <c r="B69" s="42" t="s">
        <v>107</v>
      </c>
      <c r="C69" s="30">
        <f t="shared" si="2"/>
        <v>17.35</v>
      </c>
      <c r="D69" s="38">
        <f>12.35+5</f>
        <v>17.35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U69" s="118"/>
      <c r="V69" s="199"/>
      <c r="W69" s="118"/>
      <c r="X69" s="142"/>
      <c r="Y69" s="118"/>
      <c r="Z69" s="199"/>
      <c r="AA69" s="200"/>
    </row>
    <row r="70" spans="1:27" s="40" customFormat="1" ht="15">
      <c r="A70" s="41" t="s">
        <v>24</v>
      </c>
      <c r="B70" s="202" t="s">
        <v>96</v>
      </c>
      <c r="C70" s="131">
        <f t="shared" si="2"/>
        <v>25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233">
        <v>25</v>
      </c>
      <c r="O70" s="38"/>
      <c r="P70" s="38"/>
      <c r="Q70" s="38"/>
      <c r="R70" s="38"/>
      <c r="S70" s="38"/>
      <c r="U70" s="118"/>
      <c r="V70" s="199">
        <v>25</v>
      </c>
      <c r="W70" s="118"/>
      <c r="X70" s="142"/>
      <c r="Y70" s="118"/>
      <c r="Z70" s="199"/>
      <c r="AA70" s="200"/>
    </row>
    <row r="71" spans="1:27" s="45" customFormat="1" ht="14.25">
      <c r="A71" s="43" t="s">
        <v>25</v>
      </c>
      <c r="B71" s="44" t="s">
        <v>26</v>
      </c>
      <c r="C71" s="51">
        <f t="shared" si="2"/>
        <v>98.46000000000001</v>
      </c>
      <c r="D71" s="39">
        <f>D72+D75</f>
        <v>61.19</v>
      </c>
      <c r="E71" s="39"/>
      <c r="F71" s="39"/>
      <c r="G71" s="39"/>
      <c r="H71" s="39"/>
      <c r="I71" s="39"/>
      <c r="J71" s="39">
        <f>J72</f>
        <v>1.99</v>
      </c>
      <c r="K71" s="39"/>
      <c r="L71" s="39">
        <f>L72+L75</f>
        <v>33.81</v>
      </c>
      <c r="M71" s="39"/>
      <c r="N71" s="39"/>
      <c r="O71" s="39"/>
      <c r="P71" s="39"/>
      <c r="Q71" s="39"/>
      <c r="R71" s="39">
        <f>R72</f>
        <v>1.47</v>
      </c>
      <c r="S71" s="39"/>
      <c r="U71" s="116"/>
      <c r="V71" s="205"/>
      <c r="W71" s="116"/>
      <c r="X71" s="140"/>
      <c r="Y71" s="116"/>
      <c r="Z71" s="116"/>
      <c r="AA71" s="206"/>
    </row>
    <row r="72" spans="1:30" s="19" customFormat="1" ht="15">
      <c r="A72" s="28">
        <v>1</v>
      </c>
      <c r="B72" s="29" t="s">
        <v>27</v>
      </c>
      <c r="C72" s="46">
        <f t="shared" si="2"/>
        <v>91.46000000000001</v>
      </c>
      <c r="D72" s="47">
        <f>D73+D74</f>
        <v>54.19</v>
      </c>
      <c r="E72" s="31"/>
      <c r="F72" s="31"/>
      <c r="G72" s="31"/>
      <c r="H72" s="31"/>
      <c r="I72" s="31"/>
      <c r="J72" s="31">
        <f>J73+J74</f>
        <v>1.99</v>
      </c>
      <c r="K72" s="31"/>
      <c r="L72" s="47">
        <f>L73+L74</f>
        <v>33.81</v>
      </c>
      <c r="M72" s="31"/>
      <c r="N72" s="31"/>
      <c r="O72" s="31"/>
      <c r="P72" s="31"/>
      <c r="Q72" s="31"/>
      <c r="R72" s="31">
        <v>1.47</v>
      </c>
      <c r="S72" s="31"/>
      <c r="U72" s="116">
        <v>89.2</v>
      </c>
      <c r="V72" s="205"/>
      <c r="W72" s="116">
        <v>1.2</v>
      </c>
      <c r="X72" s="140">
        <v>0</v>
      </c>
      <c r="Y72" s="116">
        <f>U72-W72</f>
        <v>88</v>
      </c>
      <c r="Z72" s="205"/>
      <c r="AA72" s="206">
        <v>78</v>
      </c>
      <c r="AB72" s="311" t="s">
        <v>109</v>
      </c>
      <c r="AC72" s="312"/>
      <c r="AD72" s="312"/>
    </row>
    <row r="73" spans="1:27" s="40" customFormat="1" ht="15">
      <c r="A73" s="41" t="s">
        <v>16</v>
      </c>
      <c r="B73" s="42" t="s">
        <v>28</v>
      </c>
      <c r="C73" s="30">
        <f t="shared" si="2"/>
        <v>35.28</v>
      </c>
      <c r="D73" s="38"/>
      <c r="E73" s="38"/>
      <c r="F73" s="38"/>
      <c r="G73" s="38"/>
      <c r="H73" s="38"/>
      <c r="I73" s="38"/>
      <c r="J73" s="38"/>
      <c r="K73" s="38"/>
      <c r="L73" s="38">
        <v>33.81</v>
      </c>
      <c r="M73" s="38"/>
      <c r="N73" s="38"/>
      <c r="O73" s="38"/>
      <c r="P73" s="38"/>
      <c r="Q73" s="38"/>
      <c r="R73" s="38">
        <v>1.47</v>
      </c>
      <c r="S73" s="38"/>
      <c r="U73" s="118"/>
      <c r="V73" s="199"/>
      <c r="W73" s="118"/>
      <c r="X73" s="142"/>
      <c r="Y73" s="118"/>
      <c r="Z73" s="199"/>
      <c r="AA73" s="200"/>
    </row>
    <row r="74" spans="1:27" s="40" customFormat="1" ht="15">
      <c r="A74" s="41" t="s">
        <v>18</v>
      </c>
      <c r="B74" s="42" t="s">
        <v>29</v>
      </c>
      <c r="C74" s="30">
        <f t="shared" si="2"/>
        <v>56.18</v>
      </c>
      <c r="D74" s="49">
        <f>55.39-1.2</f>
        <v>54.19</v>
      </c>
      <c r="E74" s="38"/>
      <c r="F74" s="38"/>
      <c r="G74" s="38"/>
      <c r="H74" s="38"/>
      <c r="I74" s="38"/>
      <c r="J74" s="38">
        <v>1.99</v>
      </c>
      <c r="K74" s="38"/>
      <c r="L74" s="38"/>
      <c r="M74" s="38"/>
      <c r="N74" s="38"/>
      <c r="O74" s="38"/>
      <c r="P74" s="38"/>
      <c r="Q74" s="38"/>
      <c r="R74" s="38"/>
      <c r="S74" s="38"/>
      <c r="U74" s="118"/>
      <c r="V74" s="199"/>
      <c r="W74" s="118"/>
      <c r="X74" s="142"/>
      <c r="Y74" s="118"/>
      <c r="Z74" s="199"/>
      <c r="AA74" s="200"/>
    </row>
    <row r="75" spans="1:27" s="19" customFormat="1" ht="15">
      <c r="A75" s="28">
        <v>2</v>
      </c>
      <c r="B75" s="29" t="s">
        <v>30</v>
      </c>
      <c r="C75" s="46">
        <f t="shared" si="2"/>
        <v>7</v>
      </c>
      <c r="D75" s="47">
        <f>D76</f>
        <v>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U75" s="117">
        <v>7</v>
      </c>
      <c r="V75" s="207"/>
      <c r="W75" s="117"/>
      <c r="X75" s="141">
        <v>39</v>
      </c>
      <c r="Y75" s="117">
        <f>U75+X75</f>
        <v>46</v>
      </c>
      <c r="Z75" s="207"/>
      <c r="AA75" s="208">
        <f>Y75</f>
        <v>46</v>
      </c>
    </row>
    <row r="76" spans="1:27" s="50" customFormat="1" ht="15">
      <c r="A76" s="48" t="s">
        <v>16</v>
      </c>
      <c r="B76" s="42" t="s">
        <v>31</v>
      </c>
      <c r="C76" s="32">
        <f t="shared" si="2"/>
        <v>7</v>
      </c>
      <c r="D76" s="49">
        <v>7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U76" s="200"/>
      <c r="V76" s="209"/>
      <c r="W76" s="200"/>
      <c r="X76" s="210"/>
      <c r="Y76" s="200"/>
      <c r="Z76" s="209"/>
      <c r="AA76" s="200"/>
    </row>
    <row r="77" spans="1:27" s="45" customFormat="1" ht="14.25">
      <c r="A77" s="43" t="s">
        <v>32</v>
      </c>
      <c r="B77" s="44" t="s">
        <v>33</v>
      </c>
      <c r="C77" s="51">
        <f t="shared" si="2"/>
        <v>57</v>
      </c>
      <c r="D77" s="39"/>
      <c r="E77" s="39"/>
      <c r="F77" s="52">
        <f>F78+F80</f>
        <v>30</v>
      </c>
      <c r="G77" s="39"/>
      <c r="H77" s="39"/>
      <c r="I77" s="39"/>
      <c r="J77" s="39"/>
      <c r="K77" s="39"/>
      <c r="L77" s="65">
        <f>L78+L80</f>
        <v>27</v>
      </c>
      <c r="M77" s="39"/>
      <c r="N77" s="39"/>
      <c r="O77" s="39"/>
      <c r="P77" s="39"/>
      <c r="Q77" s="39"/>
      <c r="R77" s="39"/>
      <c r="S77" s="39"/>
      <c r="U77" s="116">
        <v>30.99</v>
      </c>
      <c r="V77" s="205"/>
      <c r="W77" s="116">
        <v>3.99</v>
      </c>
      <c r="X77" s="140">
        <v>10</v>
      </c>
      <c r="Y77" s="116">
        <f>U77+X77</f>
        <v>40.989999999999995</v>
      </c>
      <c r="Z77" s="205"/>
      <c r="AA77" s="206">
        <f>Y77-W77</f>
        <v>36.99999999999999</v>
      </c>
    </row>
    <row r="78" spans="1:27" s="19" customFormat="1" ht="15">
      <c r="A78" s="28">
        <v>1</v>
      </c>
      <c r="B78" s="29" t="s">
        <v>34</v>
      </c>
      <c r="C78" s="46">
        <f t="shared" si="2"/>
        <v>27</v>
      </c>
      <c r="D78" s="31"/>
      <c r="E78" s="31"/>
      <c r="F78" s="31"/>
      <c r="G78" s="31"/>
      <c r="H78" s="31"/>
      <c r="I78" s="31"/>
      <c r="J78" s="31"/>
      <c r="K78" s="31"/>
      <c r="L78" s="132">
        <f>L79</f>
        <v>27</v>
      </c>
      <c r="M78" s="31"/>
      <c r="N78" s="31"/>
      <c r="O78" s="31"/>
      <c r="P78" s="31"/>
      <c r="Q78" s="31"/>
      <c r="R78" s="31"/>
      <c r="S78" s="31"/>
      <c r="U78" s="117"/>
      <c r="V78" s="207"/>
      <c r="W78" s="117"/>
      <c r="X78" s="141"/>
      <c r="Y78" s="117"/>
      <c r="Z78" s="207"/>
      <c r="AA78" s="208"/>
    </row>
    <row r="79" spans="1:27" s="40" customFormat="1" ht="15">
      <c r="A79" s="41" t="s">
        <v>16</v>
      </c>
      <c r="B79" s="42" t="s">
        <v>68</v>
      </c>
      <c r="C79" s="30">
        <f t="shared" si="2"/>
        <v>27</v>
      </c>
      <c r="D79" s="38"/>
      <c r="E79" s="38"/>
      <c r="F79" s="38"/>
      <c r="G79" s="38"/>
      <c r="H79" s="38"/>
      <c r="I79" s="38"/>
      <c r="J79" s="38"/>
      <c r="K79" s="38"/>
      <c r="L79" s="231">
        <f>30.99-3.99</f>
        <v>27</v>
      </c>
      <c r="M79" s="38"/>
      <c r="N79" s="38"/>
      <c r="O79" s="38"/>
      <c r="P79" s="38"/>
      <c r="Q79" s="38"/>
      <c r="R79" s="38"/>
      <c r="S79" s="38"/>
      <c r="U79" s="118"/>
      <c r="V79" s="199"/>
      <c r="W79" s="118"/>
      <c r="X79" s="142"/>
      <c r="Y79" s="118"/>
      <c r="Z79" s="199"/>
      <c r="AA79" s="200"/>
    </row>
    <row r="80" spans="1:27" s="19" customFormat="1" ht="15">
      <c r="A80" s="28">
        <v>2</v>
      </c>
      <c r="B80" s="29" t="s">
        <v>36</v>
      </c>
      <c r="C80" s="46">
        <f t="shared" si="2"/>
        <v>30</v>
      </c>
      <c r="D80" s="31"/>
      <c r="E80" s="31"/>
      <c r="F80" s="53">
        <f>F81</f>
        <v>30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U80" s="117"/>
      <c r="V80" s="207"/>
      <c r="W80" s="117"/>
      <c r="X80" s="141"/>
      <c r="Y80" s="117"/>
      <c r="Z80" s="207"/>
      <c r="AA80" s="208"/>
    </row>
    <row r="81" spans="1:27" s="50" customFormat="1" ht="15">
      <c r="A81" s="48" t="s">
        <v>16</v>
      </c>
      <c r="B81" s="42" t="s">
        <v>37</v>
      </c>
      <c r="C81" s="32">
        <f t="shared" si="2"/>
        <v>30</v>
      </c>
      <c r="D81" s="49"/>
      <c r="E81" s="49"/>
      <c r="F81" s="49">
        <v>30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U81" s="200"/>
      <c r="V81" s="209"/>
      <c r="W81" s="200"/>
      <c r="X81" s="210"/>
      <c r="Y81" s="200"/>
      <c r="Z81" s="209"/>
      <c r="AA81" s="200"/>
    </row>
    <row r="82" spans="1:27" s="40" customFormat="1" ht="14.25">
      <c r="A82" s="43" t="s">
        <v>38</v>
      </c>
      <c r="B82" s="44" t="s">
        <v>39</v>
      </c>
      <c r="C82" s="37">
        <f t="shared" si="2"/>
        <v>42.36</v>
      </c>
      <c r="D82" s="65">
        <f>D83</f>
        <v>5.9999999999999964</v>
      </c>
      <c r="E82" s="39"/>
      <c r="F82" s="39"/>
      <c r="G82" s="39"/>
      <c r="H82" s="39"/>
      <c r="I82" s="39"/>
      <c r="J82" s="39"/>
      <c r="K82" s="39"/>
      <c r="L82" s="65">
        <f>L83</f>
        <v>36</v>
      </c>
      <c r="M82" s="39"/>
      <c r="N82" s="39"/>
      <c r="O82" s="39"/>
      <c r="P82" s="39"/>
      <c r="Q82" s="39"/>
      <c r="R82" s="39">
        <f>R83</f>
        <v>0.36</v>
      </c>
      <c r="S82" s="39"/>
      <c r="U82" s="118"/>
      <c r="V82" s="199"/>
      <c r="W82" s="118"/>
      <c r="X82" s="142"/>
      <c r="Y82" s="118"/>
      <c r="Z82" s="199"/>
      <c r="AA82" s="206">
        <v>36</v>
      </c>
    </row>
    <row r="83" spans="1:27" s="19" customFormat="1" ht="15">
      <c r="A83" s="28">
        <v>1</v>
      </c>
      <c r="B83" s="29" t="s">
        <v>40</v>
      </c>
      <c r="C83" s="33">
        <f t="shared" si="2"/>
        <v>42.36</v>
      </c>
      <c r="D83" s="64">
        <f>D84+D85</f>
        <v>5.9999999999999964</v>
      </c>
      <c r="E83" s="31"/>
      <c r="F83" s="31"/>
      <c r="G83" s="31"/>
      <c r="H83" s="31"/>
      <c r="I83" s="31"/>
      <c r="J83" s="31"/>
      <c r="K83" s="31"/>
      <c r="L83" s="132">
        <f>L84+L85</f>
        <v>36</v>
      </c>
      <c r="M83" s="31"/>
      <c r="N83" s="31"/>
      <c r="O83" s="31"/>
      <c r="P83" s="31"/>
      <c r="Q83" s="31"/>
      <c r="R83" s="31">
        <f>R84+R85</f>
        <v>0.36</v>
      </c>
      <c r="S83" s="31"/>
      <c r="U83" s="117"/>
      <c r="V83" s="207"/>
      <c r="W83" s="117"/>
      <c r="X83" s="141"/>
      <c r="Y83" s="117"/>
      <c r="Z83" s="207"/>
      <c r="AA83" s="208"/>
    </row>
    <row r="84" spans="1:27" s="40" customFormat="1" ht="15">
      <c r="A84" s="41" t="s">
        <v>16</v>
      </c>
      <c r="B84" s="42" t="s">
        <v>41</v>
      </c>
      <c r="C84" s="30">
        <f t="shared" si="2"/>
        <v>36.36</v>
      </c>
      <c r="D84" s="38"/>
      <c r="E84" s="38"/>
      <c r="F84" s="38"/>
      <c r="G84" s="38"/>
      <c r="H84" s="38"/>
      <c r="I84" s="38"/>
      <c r="J84" s="38"/>
      <c r="K84" s="38"/>
      <c r="L84" s="231">
        <f>36.51-0.51</f>
        <v>36</v>
      </c>
      <c r="M84" s="38"/>
      <c r="N84" s="38"/>
      <c r="O84" s="38"/>
      <c r="P84" s="38"/>
      <c r="Q84" s="38"/>
      <c r="R84" s="38">
        <v>0.36</v>
      </c>
      <c r="S84" s="38"/>
      <c r="U84" s="118"/>
      <c r="V84" s="199"/>
      <c r="W84" s="118">
        <v>0.51</v>
      </c>
      <c r="X84" s="142"/>
      <c r="Y84" s="118"/>
      <c r="Z84" s="199"/>
      <c r="AA84" s="200"/>
    </row>
    <row r="85" spans="1:28" s="40" customFormat="1" ht="15">
      <c r="A85" s="41" t="s">
        <v>18</v>
      </c>
      <c r="B85" s="42" t="s">
        <v>42</v>
      </c>
      <c r="C85" s="131">
        <f t="shared" si="2"/>
        <v>5.9999999999999964</v>
      </c>
      <c r="D85" s="231">
        <f>36.51-30.51</f>
        <v>5.9999999999999964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50"/>
      <c r="U85" s="118"/>
      <c r="V85" s="199"/>
      <c r="W85" s="118">
        <v>30.51</v>
      </c>
      <c r="X85" s="142">
        <v>30</v>
      </c>
      <c r="Y85" s="118"/>
      <c r="Z85" s="199"/>
      <c r="AA85" s="200"/>
      <c r="AB85" s="50" t="s">
        <v>112</v>
      </c>
    </row>
    <row r="86" spans="1:28" s="45" customFormat="1" ht="14.25">
      <c r="A86" s="43" t="s">
        <v>43</v>
      </c>
      <c r="B86" s="44" t="s">
        <v>44</v>
      </c>
      <c r="C86" s="37">
        <f t="shared" si="2"/>
        <v>22.5</v>
      </c>
      <c r="D86" s="39">
        <f>D87</f>
        <v>12</v>
      </c>
      <c r="E86" s="39"/>
      <c r="F86" s="39"/>
      <c r="G86" s="39"/>
      <c r="H86" s="39"/>
      <c r="I86" s="39"/>
      <c r="J86" s="39"/>
      <c r="K86" s="39"/>
      <c r="L86" s="65">
        <f>L87</f>
        <v>10.5</v>
      </c>
      <c r="M86" s="39"/>
      <c r="N86" s="39">
        <f>N87</f>
        <v>0</v>
      </c>
      <c r="O86" s="39"/>
      <c r="P86" s="39"/>
      <c r="Q86" s="39"/>
      <c r="R86" s="39"/>
      <c r="S86" s="39"/>
      <c r="U86" s="116">
        <v>12</v>
      </c>
      <c r="V86" s="205">
        <v>10.5</v>
      </c>
      <c r="W86" s="116"/>
      <c r="X86" s="140">
        <v>44.9</v>
      </c>
      <c r="Y86" s="116">
        <f>U86+V86+X86</f>
        <v>67.4</v>
      </c>
      <c r="Z86" s="205"/>
      <c r="AA86" s="206">
        <v>75</v>
      </c>
      <c r="AB86" s="45" t="s">
        <v>111</v>
      </c>
    </row>
    <row r="87" spans="1:27" s="19" customFormat="1" ht="15">
      <c r="A87" s="28">
        <v>1</v>
      </c>
      <c r="B87" s="29" t="s">
        <v>45</v>
      </c>
      <c r="C87" s="33">
        <f t="shared" si="2"/>
        <v>22.5</v>
      </c>
      <c r="D87" s="38">
        <f>D88</f>
        <v>12</v>
      </c>
      <c r="E87" s="31"/>
      <c r="F87" s="31"/>
      <c r="G87" s="31"/>
      <c r="H87" s="31"/>
      <c r="I87" s="31"/>
      <c r="J87" s="31"/>
      <c r="K87" s="31"/>
      <c r="L87" s="64">
        <f>L89</f>
        <v>10.5</v>
      </c>
      <c r="M87" s="31"/>
      <c r="N87" s="31"/>
      <c r="O87" s="31"/>
      <c r="P87" s="31"/>
      <c r="Q87" s="31"/>
      <c r="R87" s="31"/>
      <c r="S87" s="31"/>
      <c r="U87" s="117"/>
      <c r="V87" s="207"/>
      <c r="W87" s="117"/>
      <c r="X87" s="141"/>
      <c r="Y87" s="117"/>
      <c r="Z87" s="207"/>
      <c r="AA87" s="208"/>
    </row>
    <row r="88" spans="1:27" s="40" customFormat="1" ht="15">
      <c r="A88" s="41" t="s">
        <v>16</v>
      </c>
      <c r="B88" s="42" t="s">
        <v>46</v>
      </c>
      <c r="C88" s="30">
        <f t="shared" si="2"/>
        <v>12</v>
      </c>
      <c r="D88" s="38">
        <v>12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U88" s="118"/>
      <c r="V88" s="199"/>
      <c r="W88" s="118"/>
      <c r="X88" s="142"/>
      <c r="Y88" s="118"/>
      <c r="Z88" s="199"/>
      <c r="AA88" s="200"/>
    </row>
    <row r="89" spans="1:27" s="40" customFormat="1" ht="15">
      <c r="A89" s="41" t="s">
        <v>18</v>
      </c>
      <c r="B89" s="42" t="s">
        <v>47</v>
      </c>
      <c r="C89" s="30">
        <f>SUM(D89:S89)</f>
        <v>10.5</v>
      </c>
      <c r="D89" s="30"/>
      <c r="E89" s="30"/>
      <c r="F89" s="30"/>
      <c r="G89" s="30"/>
      <c r="H89" s="30"/>
      <c r="I89" s="30"/>
      <c r="J89" s="30"/>
      <c r="K89" s="30"/>
      <c r="L89" s="131">
        <v>10.5</v>
      </c>
      <c r="M89" s="30"/>
      <c r="N89" s="30"/>
      <c r="O89" s="30"/>
      <c r="P89" s="30"/>
      <c r="Q89" s="30"/>
      <c r="R89" s="30"/>
      <c r="S89" s="30"/>
      <c r="U89" s="118"/>
      <c r="V89" s="199"/>
      <c r="W89" s="118"/>
      <c r="X89" s="142"/>
      <c r="Y89" s="118"/>
      <c r="Z89" s="199"/>
      <c r="AA89" s="200"/>
    </row>
    <row r="90" spans="1:27" s="45" customFormat="1" ht="14.25">
      <c r="A90" s="43" t="s">
        <v>48</v>
      </c>
      <c r="B90" s="44" t="s">
        <v>49</v>
      </c>
      <c r="C90" s="37">
        <f t="shared" si="2"/>
        <v>113.2</v>
      </c>
      <c r="D90" s="65">
        <f>D91+D93+D95</f>
        <v>102</v>
      </c>
      <c r="E90" s="39"/>
      <c r="F90" s="39"/>
      <c r="G90" s="39"/>
      <c r="H90" s="39"/>
      <c r="I90" s="39"/>
      <c r="J90" s="39">
        <f>J91+J93+J95</f>
        <v>11.2</v>
      </c>
      <c r="K90" s="39"/>
      <c r="L90" s="39"/>
      <c r="M90" s="39"/>
      <c r="N90" s="39"/>
      <c r="O90" s="39"/>
      <c r="P90" s="39"/>
      <c r="Q90" s="39"/>
      <c r="R90" s="39"/>
      <c r="S90" s="39"/>
      <c r="U90" s="116"/>
      <c r="V90" s="205"/>
      <c r="W90" s="116"/>
      <c r="X90" s="140"/>
      <c r="Y90" s="116"/>
      <c r="Z90" s="205"/>
      <c r="AA90" s="206"/>
    </row>
    <row r="91" spans="1:27" s="19" customFormat="1" ht="15">
      <c r="A91" s="28">
        <v>1</v>
      </c>
      <c r="B91" s="29" t="s">
        <v>50</v>
      </c>
      <c r="C91" s="33">
        <f t="shared" si="2"/>
        <v>58.2</v>
      </c>
      <c r="D91" s="64">
        <f>D92</f>
        <v>47</v>
      </c>
      <c r="E91" s="31"/>
      <c r="F91" s="31"/>
      <c r="G91" s="31"/>
      <c r="H91" s="31"/>
      <c r="I91" s="31"/>
      <c r="J91" s="47">
        <f>J92</f>
        <v>11.2</v>
      </c>
      <c r="K91" s="31"/>
      <c r="L91" s="31"/>
      <c r="M91" s="31"/>
      <c r="N91" s="31"/>
      <c r="O91" s="31"/>
      <c r="P91" s="31"/>
      <c r="Q91" s="31"/>
      <c r="R91" s="31"/>
      <c r="S91" s="31"/>
      <c r="U91" s="234">
        <v>62.2</v>
      </c>
      <c r="V91" s="207">
        <v>7.8</v>
      </c>
      <c r="W91" s="117"/>
      <c r="X91" s="141">
        <v>23</v>
      </c>
      <c r="Y91" s="117"/>
      <c r="Z91" s="207"/>
      <c r="AA91" s="208">
        <v>70</v>
      </c>
    </row>
    <row r="92" spans="1:27" s="224" customFormat="1" ht="15">
      <c r="A92" s="48" t="s">
        <v>16</v>
      </c>
      <c r="B92" s="202" t="s">
        <v>51</v>
      </c>
      <c r="C92" s="32">
        <f t="shared" si="2"/>
        <v>58.2</v>
      </c>
      <c r="D92" s="233">
        <f>39.2+7.8</f>
        <v>47</v>
      </c>
      <c r="E92" s="49"/>
      <c r="F92" s="49"/>
      <c r="G92" s="49"/>
      <c r="H92" s="49"/>
      <c r="I92" s="49"/>
      <c r="J92" s="49">
        <v>11.2</v>
      </c>
      <c r="K92" s="49"/>
      <c r="L92" s="235"/>
      <c r="M92" s="235"/>
      <c r="N92" s="235"/>
      <c r="O92" s="235"/>
      <c r="P92" s="235"/>
      <c r="Q92" s="235"/>
      <c r="R92" s="235"/>
      <c r="S92" s="235"/>
      <c r="U92" s="225"/>
      <c r="V92" s="227"/>
      <c r="W92" s="225"/>
      <c r="X92" s="226"/>
      <c r="Y92" s="225"/>
      <c r="Z92" s="227"/>
      <c r="AA92" s="200"/>
    </row>
    <row r="93" spans="1:27" s="19" customFormat="1" ht="15">
      <c r="A93" s="28">
        <v>2</v>
      </c>
      <c r="B93" s="29" t="s">
        <v>53</v>
      </c>
      <c r="C93" s="151">
        <f t="shared" si="2"/>
        <v>50</v>
      </c>
      <c r="D93" s="64">
        <f>D94</f>
        <v>50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U93" s="117">
        <v>58.45</v>
      </c>
      <c r="V93" s="207"/>
      <c r="W93" s="117">
        <v>8.45</v>
      </c>
      <c r="X93" s="141">
        <v>20</v>
      </c>
      <c r="Y93" s="117"/>
      <c r="Z93" s="207"/>
      <c r="AA93" s="208">
        <v>70</v>
      </c>
    </row>
    <row r="94" spans="1:28" s="40" customFormat="1" ht="15">
      <c r="A94" s="41" t="s">
        <v>16</v>
      </c>
      <c r="B94" s="42" t="s">
        <v>54</v>
      </c>
      <c r="C94" s="131">
        <f t="shared" si="2"/>
        <v>50</v>
      </c>
      <c r="D94" s="231">
        <f>58.45-8.45</f>
        <v>50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U94" s="118"/>
      <c r="V94" s="199"/>
      <c r="W94" s="118"/>
      <c r="X94" s="142"/>
      <c r="Y94" s="118"/>
      <c r="Z94" s="199"/>
      <c r="AA94" s="200"/>
      <c r="AB94" s="40">
        <f>70-62.2</f>
        <v>7.799999999999997</v>
      </c>
    </row>
    <row r="95" spans="1:27" s="19" customFormat="1" ht="15">
      <c r="A95" s="28">
        <v>3</v>
      </c>
      <c r="B95" s="29" t="s">
        <v>55</v>
      </c>
      <c r="C95" s="151">
        <f t="shared" si="2"/>
        <v>5</v>
      </c>
      <c r="D95" s="64">
        <f>D96</f>
        <v>5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U95" s="117">
        <v>14.71</v>
      </c>
      <c r="V95" s="207"/>
      <c r="W95" s="117">
        <v>9.71</v>
      </c>
      <c r="X95" s="141">
        <v>30</v>
      </c>
      <c r="Y95" s="141">
        <f>U95-W95+X95</f>
        <v>35</v>
      </c>
      <c r="Z95" s="207"/>
      <c r="AA95" s="208">
        <v>35</v>
      </c>
    </row>
    <row r="96" spans="1:29" s="40" customFormat="1" ht="15">
      <c r="A96" s="41" t="s">
        <v>16</v>
      </c>
      <c r="B96" s="42" t="s">
        <v>56</v>
      </c>
      <c r="C96" s="131">
        <f aca="true" t="shared" si="3" ref="C96:C129">SUM(D96:S96)</f>
        <v>5</v>
      </c>
      <c r="D96" s="231">
        <f>14.71-9.71</f>
        <v>5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U96" s="118"/>
      <c r="V96" s="199"/>
      <c r="W96" s="118"/>
      <c r="X96" s="142"/>
      <c r="Y96" s="118"/>
      <c r="Z96" s="199"/>
      <c r="AA96" s="200"/>
      <c r="AC96" s="40">
        <f>23+39.2</f>
        <v>62.2</v>
      </c>
    </row>
    <row r="97" spans="1:27" s="45" customFormat="1" ht="14.25">
      <c r="A97" s="43" t="s">
        <v>57</v>
      </c>
      <c r="B97" s="44" t="s">
        <v>58</v>
      </c>
      <c r="C97" s="37">
        <f t="shared" si="3"/>
        <v>19.5</v>
      </c>
      <c r="D97" s="39"/>
      <c r="E97" s="39"/>
      <c r="F97" s="39">
        <f>F98</f>
        <v>10</v>
      </c>
      <c r="G97" s="39"/>
      <c r="H97" s="39"/>
      <c r="I97" s="39"/>
      <c r="J97" s="39"/>
      <c r="K97" s="39"/>
      <c r="L97" s="39">
        <f>L98</f>
        <v>9.5</v>
      </c>
      <c r="M97" s="39"/>
      <c r="N97" s="39"/>
      <c r="O97" s="39"/>
      <c r="P97" s="39"/>
      <c r="Q97" s="39"/>
      <c r="R97" s="39"/>
      <c r="S97" s="39"/>
      <c r="U97" s="116"/>
      <c r="V97" s="205"/>
      <c r="W97" s="116"/>
      <c r="X97" s="140"/>
      <c r="Y97" s="116"/>
      <c r="Z97" s="205"/>
      <c r="AA97" s="206"/>
    </row>
    <row r="98" spans="1:27" s="19" customFormat="1" ht="15">
      <c r="A98" s="28">
        <v>1</v>
      </c>
      <c r="B98" s="29" t="s">
        <v>59</v>
      </c>
      <c r="C98" s="33">
        <f t="shared" si="3"/>
        <v>19.5</v>
      </c>
      <c r="D98" s="31"/>
      <c r="E98" s="31"/>
      <c r="F98" s="47">
        <f>F99+F100</f>
        <v>10</v>
      </c>
      <c r="G98" s="47"/>
      <c r="H98" s="47"/>
      <c r="I98" s="47"/>
      <c r="J98" s="47"/>
      <c r="K98" s="47"/>
      <c r="L98" s="47">
        <f>L99+L100</f>
        <v>9.5</v>
      </c>
      <c r="M98" s="31"/>
      <c r="N98" s="31"/>
      <c r="O98" s="31"/>
      <c r="P98" s="31"/>
      <c r="Q98" s="31"/>
      <c r="R98" s="31"/>
      <c r="S98" s="31"/>
      <c r="U98" s="117"/>
      <c r="V98" s="207"/>
      <c r="W98" s="117"/>
      <c r="X98" s="141"/>
      <c r="Y98" s="117"/>
      <c r="Z98" s="207"/>
      <c r="AA98" s="208"/>
    </row>
    <row r="99" spans="1:27" s="40" customFormat="1" ht="15">
      <c r="A99" s="41" t="s">
        <v>16</v>
      </c>
      <c r="B99" s="42" t="s">
        <v>60</v>
      </c>
      <c r="C99" s="30">
        <f t="shared" si="3"/>
        <v>9.5</v>
      </c>
      <c r="D99" s="38"/>
      <c r="E99" s="38"/>
      <c r="F99" s="38"/>
      <c r="G99" s="38"/>
      <c r="H99" s="38"/>
      <c r="I99" s="38"/>
      <c r="J99" s="38"/>
      <c r="K99" s="38"/>
      <c r="L99" s="38">
        <v>9.5</v>
      </c>
      <c r="M99" s="38"/>
      <c r="N99" s="38"/>
      <c r="O99" s="38"/>
      <c r="P99" s="38"/>
      <c r="Q99" s="38"/>
      <c r="R99" s="38"/>
      <c r="S99" s="38"/>
      <c r="U99" s="118"/>
      <c r="V99" s="199"/>
      <c r="W99" s="118"/>
      <c r="X99" s="142"/>
      <c r="Y99" s="118"/>
      <c r="Z99" s="199"/>
      <c r="AA99" s="200"/>
    </row>
    <row r="100" spans="1:27" s="40" customFormat="1" ht="15">
      <c r="A100" s="41" t="s">
        <v>18</v>
      </c>
      <c r="B100" s="42" t="s">
        <v>19</v>
      </c>
      <c r="C100" s="30">
        <f t="shared" si="3"/>
        <v>10</v>
      </c>
      <c r="D100" s="38"/>
      <c r="E100" s="38"/>
      <c r="F100" s="38">
        <v>10</v>
      </c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U100" s="118"/>
      <c r="V100" s="199"/>
      <c r="W100" s="118"/>
      <c r="X100" s="142"/>
      <c r="Y100" s="118"/>
      <c r="Z100" s="199"/>
      <c r="AA100" s="200"/>
    </row>
    <row r="101" spans="1:27" s="45" customFormat="1" ht="14.25">
      <c r="A101" s="43" t="s">
        <v>61</v>
      </c>
      <c r="B101" s="44" t="s">
        <v>62</v>
      </c>
      <c r="C101" s="37">
        <f t="shared" si="3"/>
        <v>8</v>
      </c>
      <c r="D101" s="39"/>
      <c r="E101" s="39"/>
      <c r="F101" s="39"/>
      <c r="G101" s="39"/>
      <c r="H101" s="39"/>
      <c r="I101" s="39"/>
      <c r="J101" s="39"/>
      <c r="K101" s="39"/>
      <c r="L101" s="54">
        <f>L102+L103</f>
        <v>0</v>
      </c>
      <c r="M101" s="39"/>
      <c r="N101" s="54">
        <f>N102+N103</f>
        <v>8</v>
      </c>
      <c r="O101" s="39"/>
      <c r="P101" s="39"/>
      <c r="Q101" s="39"/>
      <c r="R101" s="39"/>
      <c r="S101" s="39"/>
      <c r="U101" s="116"/>
      <c r="V101" s="205"/>
      <c r="W101" s="116">
        <v>1.1</v>
      </c>
      <c r="X101" s="140"/>
      <c r="Y101" s="116"/>
      <c r="Z101" s="205"/>
      <c r="AA101" s="206"/>
    </row>
    <row r="102" spans="1:27" s="40" customFormat="1" ht="15">
      <c r="A102" s="41" t="s">
        <v>16</v>
      </c>
      <c r="B102" s="42" t="s">
        <v>64</v>
      </c>
      <c r="C102" s="30">
        <f t="shared" si="3"/>
        <v>8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55">
        <v>8</v>
      </c>
      <c r="O102" s="38"/>
      <c r="P102" s="38"/>
      <c r="Q102" s="38"/>
      <c r="R102" s="38"/>
      <c r="S102" s="38"/>
      <c r="U102" s="118"/>
      <c r="V102" s="199"/>
      <c r="W102" s="118"/>
      <c r="X102" s="142"/>
      <c r="Y102" s="118"/>
      <c r="Z102" s="199"/>
      <c r="AA102" s="200"/>
    </row>
    <row r="103" spans="1:28" s="40" customFormat="1" ht="15">
      <c r="A103" s="41" t="s">
        <v>18</v>
      </c>
      <c r="B103" s="42" t="s">
        <v>52</v>
      </c>
      <c r="C103" s="30">
        <f t="shared" si="3"/>
        <v>0</v>
      </c>
      <c r="D103" s="30"/>
      <c r="E103" s="30"/>
      <c r="F103" s="30"/>
      <c r="G103" s="30"/>
      <c r="H103" s="30"/>
      <c r="I103" s="30"/>
      <c r="J103" s="30"/>
      <c r="K103" s="30"/>
      <c r="L103" s="55">
        <f>1.1-1.1</f>
        <v>0</v>
      </c>
      <c r="M103" s="30"/>
      <c r="N103" s="30"/>
      <c r="O103" s="30"/>
      <c r="P103" s="30"/>
      <c r="Q103" s="30"/>
      <c r="R103" s="30"/>
      <c r="S103" s="30"/>
      <c r="U103" s="118"/>
      <c r="V103" s="142">
        <f>SUM(V61:V102)</f>
        <v>66</v>
      </c>
      <c r="W103" s="118">
        <f>W72+W77+W84+W85+W93+W95+W101</f>
        <v>55.47</v>
      </c>
      <c r="X103" s="142"/>
      <c r="Y103" s="118"/>
      <c r="Z103" s="199"/>
      <c r="AA103" s="200"/>
      <c r="AB103" s="230">
        <f>W103-V103</f>
        <v>-10.530000000000001</v>
      </c>
    </row>
    <row r="104" spans="1:27" s="257" customFormat="1" ht="54.75" customHeight="1">
      <c r="A104" s="266" t="s">
        <v>69</v>
      </c>
      <c r="B104" s="278" t="s">
        <v>70</v>
      </c>
      <c r="C104" s="279">
        <f t="shared" si="3"/>
        <v>118.42</v>
      </c>
      <c r="D104" s="280">
        <f>D108+D120+D127</f>
        <v>58.260000000000005</v>
      </c>
      <c r="E104" s="280"/>
      <c r="F104" s="280"/>
      <c r="G104" s="280"/>
      <c r="H104" s="280"/>
      <c r="I104" s="280"/>
      <c r="J104" s="280"/>
      <c r="K104" s="280"/>
      <c r="L104" s="280">
        <f>L105+L114+L117</f>
        <v>60.16</v>
      </c>
      <c r="M104" s="280"/>
      <c r="N104" s="280"/>
      <c r="O104" s="280"/>
      <c r="P104" s="280"/>
      <c r="Q104" s="280"/>
      <c r="R104" s="280"/>
      <c r="S104" s="280"/>
      <c r="U104" s="258"/>
      <c r="V104" s="262"/>
      <c r="W104" s="258"/>
      <c r="X104" s="261"/>
      <c r="Y104" s="258"/>
      <c r="Z104" s="262"/>
      <c r="AA104" s="263"/>
    </row>
    <row r="105" spans="1:27" s="45" customFormat="1" ht="14.25">
      <c r="A105" s="35" t="s">
        <v>13</v>
      </c>
      <c r="B105" s="36" t="s">
        <v>14</v>
      </c>
      <c r="C105" s="37">
        <f t="shared" si="3"/>
        <v>10.4</v>
      </c>
      <c r="D105" s="54"/>
      <c r="E105" s="54"/>
      <c r="F105" s="54"/>
      <c r="G105" s="54"/>
      <c r="H105" s="54"/>
      <c r="I105" s="54"/>
      <c r="J105" s="54"/>
      <c r="K105" s="54"/>
      <c r="L105" s="54">
        <f>L106</f>
        <v>10.4</v>
      </c>
      <c r="M105" s="54"/>
      <c r="N105" s="54"/>
      <c r="O105" s="54"/>
      <c r="P105" s="54"/>
      <c r="Q105" s="54"/>
      <c r="R105" s="54"/>
      <c r="S105" s="54"/>
      <c r="U105" s="116"/>
      <c r="V105" s="205"/>
      <c r="W105" s="116"/>
      <c r="X105" s="140"/>
      <c r="Y105" s="116"/>
      <c r="Z105" s="205"/>
      <c r="AA105" s="206"/>
    </row>
    <row r="106" spans="1:27" s="19" customFormat="1" ht="15">
      <c r="A106" s="28">
        <v>1</v>
      </c>
      <c r="B106" s="29" t="s">
        <v>15</v>
      </c>
      <c r="C106" s="33">
        <f t="shared" si="3"/>
        <v>10.4</v>
      </c>
      <c r="D106" s="31"/>
      <c r="E106" s="31"/>
      <c r="F106" s="31"/>
      <c r="G106" s="31"/>
      <c r="H106" s="31"/>
      <c r="I106" s="31"/>
      <c r="J106" s="31"/>
      <c r="K106" s="31"/>
      <c r="L106" s="31">
        <f>L107</f>
        <v>10.4</v>
      </c>
      <c r="M106" s="31"/>
      <c r="N106" s="31"/>
      <c r="O106" s="31"/>
      <c r="P106" s="31"/>
      <c r="Q106" s="31"/>
      <c r="R106" s="31"/>
      <c r="S106" s="31"/>
      <c r="U106" s="117"/>
      <c r="V106" s="207"/>
      <c r="W106" s="117"/>
      <c r="X106" s="141"/>
      <c r="Y106" s="117"/>
      <c r="Z106" s="207"/>
      <c r="AA106" s="208"/>
    </row>
    <row r="107" spans="1:27" s="40" customFormat="1" ht="15">
      <c r="A107" s="41"/>
      <c r="B107" s="42" t="s">
        <v>17</v>
      </c>
      <c r="C107" s="30">
        <f t="shared" si="3"/>
        <v>10.4</v>
      </c>
      <c r="D107" s="55"/>
      <c r="E107" s="55"/>
      <c r="F107" s="55"/>
      <c r="G107" s="55"/>
      <c r="H107" s="55"/>
      <c r="I107" s="55"/>
      <c r="J107" s="55"/>
      <c r="K107" s="55"/>
      <c r="L107" s="55">
        <v>10.4</v>
      </c>
      <c r="M107" s="55"/>
      <c r="N107" s="56"/>
      <c r="O107" s="56"/>
      <c r="P107" s="56"/>
      <c r="Q107" s="56"/>
      <c r="R107" s="55"/>
      <c r="S107" s="55"/>
      <c r="U107" s="118"/>
      <c r="V107" s="199"/>
      <c r="W107" s="118"/>
      <c r="X107" s="142"/>
      <c r="Y107" s="118"/>
      <c r="Z107" s="199"/>
      <c r="AA107" s="200"/>
    </row>
    <row r="108" spans="1:27" s="45" customFormat="1" ht="14.25">
      <c r="A108" s="43" t="s">
        <v>20</v>
      </c>
      <c r="B108" s="44" t="s">
        <v>26</v>
      </c>
      <c r="C108" s="37">
        <f t="shared" si="3"/>
        <v>22.33</v>
      </c>
      <c r="D108" s="54">
        <f>D109+D112</f>
        <v>22.33</v>
      </c>
      <c r="E108" s="54"/>
      <c r="F108" s="54"/>
      <c r="G108" s="54"/>
      <c r="H108" s="54"/>
      <c r="I108" s="54"/>
      <c r="J108" s="54"/>
      <c r="K108" s="54"/>
      <c r="L108" s="54">
        <f>L109+L112</f>
        <v>0</v>
      </c>
      <c r="M108" s="54"/>
      <c r="N108" s="54"/>
      <c r="O108" s="54"/>
      <c r="P108" s="54"/>
      <c r="Q108" s="54"/>
      <c r="R108" s="54"/>
      <c r="S108" s="54"/>
      <c r="U108" s="116"/>
      <c r="V108" s="205"/>
      <c r="W108" s="116"/>
      <c r="X108" s="140"/>
      <c r="Y108" s="116"/>
      <c r="Z108" s="205"/>
      <c r="AA108" s="206"/>
    </row>
    <row r="109" spans="1:27" s="19" customFormat="1" ht="15">
      <c r="A109" s="28">
        <v>1</v>
      </c>
      <c r="B109" s="29" t="s">
        <v>27</v>
      </c>
      <c r="C109" s="33">
        <f t="shared" si="3"/>
        <v>21.33</v>
      </c>
      <c r="D109" s="31">
        <f>D110+D111</f>
        <v>21.33</v>
      </c>
      <c r="E109" s="31"/>
      <c r="F109" s="31"/>
      <c r="G109" s="31"/>
      <c r="H109" s="31"/>
      <c r="I109" s="31"/>
      <c r="J109" s="31"/>
      <c r="K109" s="31"/>
      <c r="L109" s="31">
        <f>L110+L111</f>
        <v>0</v>
      </c>
      <c r="M109" s="31"/>
      <c r="N109" s="31"/>
      <c r="O109" s="31"/>
      <c r="P109" s="31"/>
      <c r="Q109" s="31"/>
      <c r="R109" s="31"/>
      <c r="S109" s="31"/>
      <c r="U109" s="117"/>
      <c r="V109" s="207"/>
      <c r="W109" s="117"/>
      <c r="X109" s="141"/>
      <c r="Y109" s="117"/>
      <c r="Z109" s="207"/>
      <c r="AA109" s="208"/>
    </row>
    <row r="110" spans="1:27" s="40" customFormat="1" ht="15">
      <c r="A110" s="41"/>
      <c r="B110" s="42" t="s">
        <v>28</v>
      </c>
      <c r="C110" s="30">
        <f t="shared" si="3"/>
        <v>0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U110" s="118"/>
      <c r="V110" s="199"/>
      <c r="W110" s="118"/>
      <c r="X110" s="142"/>
      <c r="Y110" s="118"/>
      <c r="Z110" s="199"/>
      <c r="AA110" s="200"/>
    </row>
    <row r="111" spans="1:27" s="40" customFormat="1" ht="15">
      <c r="A111" s="41"/>
      <c r="B111" s="42" t="s">
        <v>29</v>
      </c>
      <c r="C111" s="30">
        <f t="shared" si="3"/>
        <v>21.33</v>
      </c>
      <c r="D111" s="30">
        <f>21.33-L110</f>
        <v>21.33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U111" s="118"/>
      <c r="V111" s="199"/>
      <c r="W111" s="118"/>
      <c r="X111" s="142"/>
      <c r="Y111" s="118"/>
      <c r="Z111" s="199"/>
      <c r="AA111" s="200"/>
    </row>
    <row r="112" spans="1:27" s="19" customFormat="1" ht="15">
      <c r="A112" s="57">
        <v>2</v>
      </c>
      <c r="B112" s="29" t="s">
        <v>30</v>
      </c>
      <c r="C112" s="33">
        <f t="shared" si="3"/>
        <v>1</v>
      </c>
      <c r="D112" s="33">
        <f>D113</f>
        <v>1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U112" s="117"/>
      <c r="V112" s="207"/>
      <c r="W112" s="117"/>
      <c r="X112" s="141"/>
      <c r="Y112" s="117"/>
      <c r="Z112" s="207"/>
      <c r="AA112" s="208"/>
    </row>
    <row r="113" spans="1:27" s="40" customFormat="1" ht="15">
      <c r="A113" s="41"/>
      <c r="B113" s="42" t="s">
        <v>31</v>
      </c>
      <c r="C113" s="30">
        <f t="shared" si="3"/>
        <v>1</v>
      </c>
      <c r="D113" s="32">
        <v>1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U113" s="118"/>
      <c r="V113" s="199"/>
      <c r="W113" s="118"/>
      <c r="X113" s="142"/>
      <c r="Y113" s="118"/>
      <c r="Z113" s="199"/>
      <c r="AA113" s="200"/>
    </row>
    <row r="114" spans="1:27" s="45" customFormat="1" ht="14.25">
      <c r="A114" s="43" t="s">
        <v>71</v>
      </c>
      <c r="B114" s="44" t="s">
        <v>33</v>
      </c>
      <c r="C114" s="37">
        <f t="shared" si="3"/>
        <v>40</v>
      </c>
      <c r="D114" s="54"/>
      <c r="E114" s="54"/>
      <c r="F114" s="54"/>
      <c r="G114" s="54"/>
      <c r="H114" s="54"/>
      <c r="I114" s="54"/>
      <c r="J114" s="54"/>
      <c r="K114" s="54"/>
      <c r="L114" s="54">
        <f>L115</f>
        <v>40</v>
      </c>
      <c r="M114" s="54"/>
      <c r="N114" s="54"/>
      <c r="O114" s="54"/>
      <c r="P114" s="54"/>
      <c r="Q114" s="54"/>
      <c r="R114" s="54"/>
      <c r="S114" s="54"/>
      <c r="U114" s="116"/>
      <c r="V114" s="205"/>
      <c r="W114" s="116"/>
      <c r="X114" s="140"/>
      <c r="Y114" s="116"/>
      <c r="Z114" s="205"/>
      <c r="AA114" s="206"/>
    </row>
    <row r="115" spans="1:27" s="40" customFormat="1" ht="15">
      <c r="A115" s="28">
        <v>1</v>
      </c>
      <c r="B115" s="29" t="s">
        <v>34</v>
      </c>
      <c r="C115" s="31">
        <f t="shared" si="3"/>
        <v>40</v>
      </c>
      <c r="D115" s="31"/>
      <c r="E115" s="31"/>
      <c r="F115" s="31"/>
      <c r="G115" s="31"/>
      <c r="H115" s="31"/>
      <c r="I115" s="31"/>
      <c r="J115" s="31"/>
      <c r="K115" s="31"/>
      <c r="L115" s="55">
        <f>L116</f>
        <v>40</v>
      </c>
      <c r="M115" s="31"/>
      <c r="N115" s="31"/>
      <c r="O115" s="31"/>
      <c r="P115" s="31"/>
      <c r="Q115" s="31"/>
      <c r="R115" s="31"/>
      <c r="S115" s="31"/>
      <c r="U115" s="118"/>
      <c r="V115" s="199"/>
      <c r="W115" s="118"/>
      <c r="X115" s="142"/>
      <c r="Y115" s="118"/>
      <c r="Z115" s="199"/>
      <c r="AA115" s="200"/>
    </row>
    <row r="116" spans="1:27" s="40" customFormat="1" ht="15">
      <c r="A116" s="41"/>
      <c r="B116" s="42" t="s">
        <v>35</v>
      </c>
      <c r="C116" s="30">
        <f t="shared" si="3"/>
        <v>40</v>
      </c>
      <c r="D116" s="55"/>
      <c r="E116" s="55"/>
      <c r="F116" s="55"/>
      <c r="G116" s="55"/>
      <c r="H116" s="55"/>
      <c r="I116" s="55"/>
      <c r="J116" s="55"/>
      <c r="K116" s="55"/>
      <c r="L116" s="55">
        <v>40</v>
      </c>
      <c r="M116" s="55"/>
      <c r="N116" s="55"/>
      <c r="O116" s="55"/>
      <c r="P116" s="55"/>
      <c r="Q116" s="55"/>
      <c r="R116" s="55"/>
      <c r="S116" s="55"/>
      <c r="U116" s="118"/>
      <c r="V116" s="199"/>
      <c r="W116" s="118"/>
      <c r="X116" s="142"/>
      <c r="Y116" s="118"/>
      <c r="Z116" s="199"/>
      <c r="AA116" s="200"/>
    </row>
    <row r="117" spans="1:27" s="45" customFormat="1" ht="14.25">
      <c r="A117" s="43" t="s">
        <v>72</v>
      </c>
      <c r="B117" s="44" t="s">
        <v>39</v>
      </c>
      <c r="C117" s="37">
        <f t="shared" si="3"/>
        <v>9.76</v>
      </c>
      <c r="D117" s="54"/>
      <c r="E117" s="54"/>
      <c r="F117" s="54"/>
      <c r="G117" s="54"/>
      <c r="H117" s="54"/>
      <c r="I117" s="54"/>
      <c r="J117" s="54"/>
      <c r="K117" s="54"/>
      <c r="L117" s="54">
        <f>L118</f>
        <v>9.76</v>
      </c>
      <c r="M117" s="54"/>
      <c r="N117" s="54"/>
      <c r="O117" s="54"/>
      <c r="P117" s="54"/>
      <c r="Q117" s="54"/>
      <c r="R117" s="54"/>
      <c r="S117" s="54"/>
      <c r="U117" s="116"/>
      <c r="V117" s="205"/>
      <c r="W117" s="116"/>
      <c r="X117" s="140"/>
      <c r="Y117" s="116"/>
      <c r="Z117" s="205"/>
      <c r="AA117" s="206"/>
    </row>
    <row r="118" spans="1:27" s="40" customFormat="1" ht="15">
      <c r="A118" s="28">
        <v>1</v>
      </c>
      <c r="B118" s="29" t="s">
        <v>40</v>
      </c>
      <c r="C118" s="31">
        <f t="shared" si="3"/>
        <v>9.76</v>
      </c>
      <c r="D118" s="31"/>
      <c r="E118" s="31"/>
      <c r="F118" s="31"/>
      <c r="G118" s="31"/>
      <c r="H118" s="31"/>
      <c r="I118" s="31"/>
      <c r="J118" s="31"/>
      <c r="K118" s="31"/>
      <c r="L118" s="31">
        <f>L119</f>
        <v>9.76</v>
      </c>
      <c r="M118" s="31"/>
      <c r="N118" s="31"/>
      <c r="O118" s="31"/>
      <c r="P118" s="31"/>
      <c r="Q118" s="31"/>
      <c r="R118" s="31"/>
      <c r="S118" s="31"/>
      <c r="U118" s="118"/>
      <c r="V118" s="199"/>
      <c r="W118" s="118"/>
      <c r="X118" s="142"/>
      <c r="Y118" s="118"/>
      <c r="Z118" s="199"/>
      <c r="AA118" s="200"/>
    </row>
    <row r="119" spans="1:27" s="40" customFormat="1" ht="15">
      <c r="A119" s="41"/>
      <c r="B119" s="42" t="s">
        <v>41</v>
      </c>
      <c r="C119" s="30">
        <f t="shared" si="3"/>
        <v>9.76</v>
      </c>
      <c r="D119" s="55"/>
      <c r="E119" s="55"/>
      <c r="F119" s="55"/>
      <c r="G119" s="55"/>
      <c r="H119" s="55"/>
      <c r="I119" s="55"/>
      <c r="J119" s="55"/>
      <c r="K119" s="55"/>
      <c r="L119" s="55">
        <v>9.76</v>
      </c>
      <c r="M119" s="55"/>
      <c r="N119" s="55"/>
      <c r="O119" s="55"/>
      <c r="P119" s="55"/>
      <c r="Q119" s="55"/>
      <c r="R119" s="55"/>
      <c r="S119" s="55"/>
      <c r="U119" s="118"/>
      <c r="V119" s="199"/>
      <c r="W119" s="118"/>
      <c r="X119" s="142"/>
      <c r="Y119" s="118"/>
      <c r="Z119" s="199"/>
      <c r="AA119" s="200"/>
    </row>
    <row r="120" spans="1:27" s="45" customFormat="1" ht="14.25">
      <c r="A120" s="43" t="s">
        <v>38</v>
      </c>
      <c r="B120" s="44" t="s">
        <v>49</v>
      </c>
      <c r="C120" s="37">
        <f t="shared" si="3"/>
        <v>24.73</v>
      </c>
      <c r="D120" s="54">
        <f>D121+D123+D125</f>
        <v>24.73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U120" s="116"/>
      <c r="V120" s="205"/>
      <c r="W120" s="116"/>
      <c r="X120" s="140"/>
      <c r="Y120" s="116"/>
      <c r="Z120" s="205"/>
      <c r="AA120" s="206"/>
    </row>
    <row r="121" spans="1:27" s="19" customFormat="1" ht="15">
      <c r="A121" s="28">
        <v>1</v>
      </c>
      <c r="B121" s="29" t="s">
        <v>50</v>
      </c>
      <c r="C121" s="33">
        <f t="shared" si="3"/>
        <v>20</v>
      </c>
      <c r="D121" s="31">
        <f>D122</f>
        <v>20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U121" s="117"/>
      <c r="V121" s="207"/>
      <c r="W121" s="117"/>
      <c r="X121" s="141"/>
      <c r="Y121" s="117"/>
      <c r="Z121" s="207"/>
      <c r="AA121" s="208"/>
    </row>
    <row r="122" spans="1:27" s="40" customFormat="1" ht="15">
      <c r="A122" s="41"/>
      <c r="B122" s="42" t="s">
        <v>51</v>
      </c>
      <c r="C122" s="30">
        <f t="shared" si="3"/>
        <v>20</v>
      </c>
      <c r="D122" s="30">
        <v>20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U122" s="118"/>
      <c r="V122" s="199"/>
      <c r="W122" s="118"/>
      <c r="X122" s="142"/>
      <c r="Y122" s="118"/>
      <c r="Z122" s="199"/>
      <c r="AA122" s="200"/>
    </row>
    <row r="123" spans="1:27" s="19" customFormat="1" ht="15">
      <c r="A123" s="28">
        <v>2</v>
      </c>
      <c r="B123" s="29" t="s">
        <v>53</v>
      </c>
      <c r="C123" s="30">
        <f t="shared" si="3"/>
        <v>3</v>
      </c>
      <c r="D123" s="31">
        <f>D124</f>
        <v>3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U123" s="117"/>
      <c r="V123" s="207"/>
      <c r="W123" s="117"/>
      <c r="X123" s="141"/>
      <c r="Y123" s="117"/>
      <c r="Z123" s="207"/>
      <c r="AA123" s="208"/>
    </row>
    <row r="124" spans="1:27" s="40" customFormat="1" ht="15">
      <c r="A124" s="41"/>
      <c r="B124" s="42" t="s">
        <v>54</v>
      </c>
      <c r="C124" s="30">
        <f t="shared" si="3"/>
        <v>3</v>
      </c>
      <c r="D124" s="30">
        <v>3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U124" s="118"/>
      <c r="V124" s="199"/>
      <c r="W124" s="118"/>
      <c r="X124" s="142"/>
      <c r="Y124" s="118"/>
      <c r="Z124" s="199"/>
      <c r="AA124" s="200"/>
    </row>
    <row r="125" spans="1:27" s="19" customFormat="1" ht="15">
      <c r="A125" s="28">
        <v>2</v>
      </c>
      <c r="B125" s="29" t="s">
        <v>55</v>
      </c>
      <c r="C125" s="30">
        <f t="shared" si="3"/>
        <v>1.73</v>
      </c>
      <c r="D125" s="30">
        <f>D126</f>
        <v>1.73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U125" s="117"/>
      <c r="V125" s="207"/>
      <c r="W125" s="117"/>
      <c r="X125" s="141"/>
      <c r="Y125" s="117"/>
      <c r="Z125" s="207"/>
      <c r="AA125" s="208"/>
    </row>
    <row r="126" spans="1:27" s="40" customFormat="1" ht="15">
      <c r="A126" s="41"/>
      <c r="B126" s="42" t="s">
        <v>56</v>
      </c>
      <c r="C126" s="30">
        <f t="shared" si="3"/>
        <v>1.73</v>
      </c>
      <c r="D126" s="30">
        <v>1.73</v>
      </c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U126" s="118"/>
      <c r="V126" s="199"/>
      <c r="W126" s="118"/>
      <c r="X126" s="142"/>
      <c r="Y126" s="118"/>
      <c r="Z126" s="199"/>
      <c r="AA126" s="200"/>
    </row>
    <row r="127" spans="1:27" s="40" customFormat="1" ht="14.25">
      <c r="A127" s="43" t="s">
        <v>43</v>
      </c>
      <c r="B127" s="44" t="s">
        <v>21</v>
      </c>
      <c r="C127" s="37">
        <f t="shared" si="3"/>
        <v>11.2</v>
      </c>
      <c r="D127" s="37">
        <f>D128</f>
        <v>11.2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U127" s="118"/>
      <c r="V127" s="199">
        <v>11.2</v>
      </c>
      <c r="W127" s="118"/>
      <c r="X127" s="142"/>
      <c r="Y127" s="118"/>
      <c r="Z127" s="199"/>
      <c r="AA127" s="200"/>
    </row>
    <row r="128" spans="1:27" s="40" customFormat="1" ht="15">
      <c r="A128" s="28">
        <v>1</v>
      </c>
      <c r="B128" s="29" t="s">
        <v>22</v>
      </c>
      <c r="C128" s="33">
        <f t="shared" si="3"/>
        <v>11.2</v>
      </c>
      <c r="D128" s="31">
        <f>D129</f>
        <v>11.2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U128" s="118"/>
      <c r="V128" s="199"/>
      <c r="W128" s="118"/>
      <c r="X128" s="142"/>
      <c r="Y128" s="118"/>
      <c r="Z128" s="199"/>
      <c r="AA128" s="200"/>
    </row>
    <row r="129" spans="1:27" s="240" customFormat="1" ht="15">
      <c r="A129" s="236" t="s">
        <v>16</v>
      </c>
      <c r="B129" s="237" t="s">
        <v>23</v>
      </c>
      <c r="C129" s="238">
        <f t="shared" si="3"/>
        <v>11.2</v>
      </c>
      <c r="D129" s="239">
        <v>11.2</v>
      </c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U129" s="241"/>
      <c r="V129" s="210">
        <f>SUM(V105:V127)</f>
        <v>11.2</v>
      </c>
      <c r="W129" s="210">
        <f>SUM(W61:W102)</f>
        <v>55.47</v>
      </c>
      <c r="X129" s="242"/>
      <c r="Y129" s="241"/>
      <c r="Z129" s="243"/>
      <c r="AA129" s="244"/>
    </row>
    <row r="130" spans="1:27" s="2" customFormat="1" ht="15">
      <c r="A130" s="118"/>
      <c r="B130" s="116" t="s">
        <v>73</v>
      </c>
      <c r="C130" s="248">
        <f>C104+C60+C12</f>
        <v>1556.1100000000001</v>
      </c>
      <c r="D130" s="248">
        <f>D104+D60+D12</f>
        <v>505.34000000000003</v>
      </c>
      <c r="E130" s="248">
        <f>E104+E60+E12</f>
        <v>0</v>
      </c>
      <c r="F130" s="249">
        <f>F60+F12</f>
        <v>200</v>
      </c>
      <c r="G130" s="248">
        <f>G104+G60+G12</f>
        <v>0</v>
      </c>
      <c r="H130" s="248">
        <f>H104+H60+H12</f>
        <v>0</v>
      </c>
      <c r="I130" s="248">
        <f>I104+I60+I12</f>
        <v>0</v>
      </c>
      <c r="J130" s="249">
        <f>J60+J12</f>
        <v>26.38</v>
      </c>
      <c r="K130" s="248">
        <f>K104+K60+K12</f>
        <v>0</v>
      </c>
      <c r="L130" s="248">
        <f>L104+L60+L12</f>
        <v>584.45</v>
      </c>
      <c r="M130" s="248">
        <f>M104+M60+M12</f>
        <v>0</v>
      </c>
      <c r="N130" s="249">
        <f>N60+N12</f>
        <v>182.92999999999998</v>
      </c>
      <c r="O130" s="248">
        <f>O104+O60+O12</f>
        <v>0</v>
      </c>
      <c r="P130" s="248">
        <f>P104+P60+P12</f>
        <v>38.629999999999995</v>
      </c>
      <c r="Q130" s="248">
        <f>Q104+Q60+Q12</f>
        <v>0</v>
      </c>
      <c r="R130" s="248">
        <f>R60+R12</f>
        <v>18.38</v>
      </c>
      <c r="S130" s="245">
        <f>S104+S60+S12</f>
        <v>0</v>
      </c>
      <c r="U130" s="246"/>
      <c r="V130" s="242">
        <f>V59+V103+V129</f>
        <v>135.7</v>
      </c>
      <c r="W130" s="242">
        <f>W59+W103</f>
        <v>110.37</v>
      </c>
      <c r="X130" s="242"/>
      <c r="Y130" s="246"/>
      <c r="Z130" s="243"/>
      <c r="AA130" s="247"/>
    </row>
    <row r="131" spans="1:27" s="184" customFormat="1" ht="15">
      <c r="A131" s="180"/>
      <c r="B131" s="181"/>
      <c r="C131" s="182"/>
      <c r="D131" s="182"/>
      <c r="E131" s="182"/>
      <c r="F131" s="183"/>
      <c r="G131" s="182"/>
      <c r="H131" s="182"/>
      <c r="I131" s="182"/>
      <c r="J131" s="183"/>
      <c r="K131" s="182"/>
      <c r="L131" s="182"/>
      <c r="M131" s="182"/>
      <c r="N131" s="183"/>
      <c r="O131" s="182"/>
      <c r="P131" s="182"/>
      <c r="Q131" s="182"/>
      <c r="R131" s="182"/>
      <c r="S131" s="182"/>
      <c r="U131" s="185"/>
      <c r="V131" s="186"/>
      <c r="W131" s="186"/>
      <c r="X131" s="186"/>
      <c r="Y131" s="185"/>
      <c r="Z131" s="187"/>
      <c r="AA131" s="185"/>
    </row>
    <row r="132" spans="1:27" s="184" customFormat="1" ht="15">
      <c r="A132" s="180"/>
      <c r="B132" s="181"/>
      <c r="C132" s="182"/>
      <c r="D132" s="182"/>
      <c r="E132" s="182"/>
      <c r="F132" s="183"/>
      <c r="G132" s="182"/>
      <c r="H132" s="182"/>
      <c r="I132" s="182"/>
      <c r="J132" s="183"/>
      <c r="K132" s="182"/>
      <c r="L132" s="182"/>
      <c r="M132" s="182"/>
      <c r="N132" s="183"/>
      <c r="O132" s="182"/>
      <c r="P132" s="182"/>
      <c r="Q132" s="182"/>
      <c r="R132" s="182"/>
      <c r="S132" s="182"/>
      <c r="U132" s="185"/>
      <c r="V132" s="186"/>
      <c r="W132" s="186"/>
      <c r="X132" s="186"/>
      <c r="Y132" s="185"/>
      <c r="Z132" s="187"/>
      <c r="AA132" s="185"/>
    </row>
  </sheetData>
  <sheetProtection/>
  <mergeCells count="47">
    <mergeCell ref="AB24:AD24"/>
    <mergeCell ref="AB19:AD19"/>
    <mergeCell ref="AB72:AD72"/>
    <mergeCell ref="AB66:AD66"/>
    <mergeCell ref="Q10:Q11"/>
    <mergeCell ref="R10:R11"/>
    <mergeCell ref="S10:S11"/>
    <mergeCell ref="AA10:AA11"/>
    <mergeCell ref="Y10:Y11"/>
    <mergeCell ref="Z10:Z11"/>
    <mergeCell ref="W10:W11"/>
    <mergeCell ref="U10:U11"/>
    <mergeCell ref="X10:X11"/>
    <mergeCell ref="V10:V11"/>
    <mergeCell ref="M10:M11"/>
    <mergeCell ref="N10:N11"/>
    <mergeCell ref="O10:O11"/>
    <mergeCell ref="P10:P11"/>
    <mergeCell ref="P9:Q9"/>
    <mergeCell ref="D10:D11"/>
    <mergeCell ref="E10:E11"/>
    <mergeCell ref="F10:F11"/>
    <mergeCell ref="G10:G11"/>
    <mergeCell ref="H10:H11"/>
    <mergeCell ref="L8:Q8"/>
    <mergeCell ref="R8:S9"/>
    <mergeCell ref="D9:E9"/>
    <mergeCell ref="F9:G9"/>
    <mergeCell ref="H9:I9"/>
    <mergeCell ref="L9:M9"/>
    <mergeCell ref="N9:O9"/>
    <mergeCell ref="A2:S2"/>
    <mergeCell ref="A3:S3"/>
    <mergeCell ref="A4:S4"/>
    <mergeCell ref="D6:S6"/>
    <mergeCell ref="A5:S5"/>
    <mergeCell ref="A6:A11"/>
    <mergeCell ref="B6:B11"/>
    <mergeCell ref="C6:C11"/>
    <mergeCell ref="D7:K7"/>
    <mergeCell ref="I10:I11"/>
    <mergeCell ref="J10:J11"/>
    <mergeCell ref="K10:K11"/>
    <mergeCell ref="L10:L11"/>
    <mergeCell ref="L7:S7"/>
    <mergeCell ref="D8:I8"/>
    <mergeCell ref="J8:K9"/>
  </mergeCells>
  <printOptions/>
  <pageMargins left="0.5" right="0.1" top="0.5" bottom="0.5" header="0.5" footer="0.2"/>
  <pageSetup horizontalDpi="600" verticalDpi="600" orientation="landscape" paperSize="9" scale="95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TP. Dong Hoi - Quang Binh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Cty tu van Mien Trung</dc:creator>
  <cp:keywords/>
  <dc:description/>
  <cp:lastModifiedBy>Admin</cp:lastModifiedBy>
  <cp:lastPrinted>2016-04-14T02:25:26Z</cp:lastPrinted>
  <dcterms:created xsi:type="dcterms:W3CDTF">2009-06-12T17:04:01Z</dcterms:created>
  <dcterms:modified xsi:type="dcterms:W3CDTF">2016-04-19T02:58:04Z</dcterms:modified>
  <cp:category/>
  <cp:version/>
  <cp:contentType/>
  <cp:contentStatus/>
</cp:coreProperties>
</file>